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2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12.xml" ContentType="application/vnd.openxmlformats-officedocument.drawingml.chart+xml"/>
  <Override PartName="/xl/drawings/drawing4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omments1.xml" ContentType="application/vnd.openxmlformats-officedocument.spreadsheetml.comment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charts/chart1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16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17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108"/>
  <workbookPr filterPrivacy="1" defaultThemeVersion="124226"/>
  <xr:revisionPtr revIDLastSave="0" documentId="13_ncr:1_{BE7345D1-B31A-E048-9BBF-9EBEE0CCAC26}" xr6:coauthVersionLast="45" xr6:coauthVersionMax="45" xr10:uidLastSave="{00000000-0000-0000-0000-000000000000}"/>
  <bookViews>
    <workbookView xWindow="-20" yWindow="460" windowWidth="28800" windowHeight="16200" activeTab="3" xr2:uid="{00000000-000D-0000-FFFF-FFFF00000000}"/>
  </bookViews>
  <sheets>
    <sheet name="Income Statement_P&amp;L" sheetId="7" r:id="rId1"/>
    <sheet name="Balance" sheetId="3" r:id="rId2"/>
    <sheet name=" Cash Flow" sheetId="2" r:id="rId3"/>
    <sheet name="Valuation" sheetId="5" r:id="rId4"/>
    <sheet name="6. Ingeniería" sheetId="11" state="hidden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1" i="7" l="1"/>
  <c r="K16" i="7"/>
  <c r="K7" i="7"/>
  <c r="L7" i="7"/>
  <c r="Q26" i="7" l="1"/>
  <c r="H18" i="2" l="1"/>
  <c r="I18" i="2"/>
  <c r="L18" i="2"/>
  <c r="K35" i="3"/>
  <c r="P22" i="7"/>
  <c r="O22" i="7"/>
  <c r="N22" i="7"/>
  <c r="K22" i="7"/>
  <c r="M7" i="7"/>
  <c r="K13" i="7"/>
  <c r="M6" i="7"/>
  <c r="L6" i="7"/>
  <c r="Q6" i="7" s="1"/>
  <c r="M11" i="7"/>
  <c r="K12" i="7"/>
  <c r="J9" i="7"/>
  <c r="K9" i="7"/>
  <c r="J22" i="3" l="1"/>
  <c r="K6" i="7"/>
  <c r="J8" i="7" l="1"/>
  <c r="J18" i="3" l="1"/>
  <c r="I17" i="3"/>
  <c r="J17" i="3" l="1"/>
  <c r="K18" i="7" l="1"/>
  <c r="L18" i="7" s="1"/>
  <c r="M18" i="7" s="1"/>
  <c r="N18" i="7" s="1"/>
  <c r="O18" i="7" s="1"/>
  <c r="P18" i="7" s="1"/>
  <c r="L26" i="7"/>
  <c r="J11" i="5" l="1"/>
  <c r="K8" i="7"/>
  <c r="I27" i="2"/>
  <c r="H27" i="2"/>
  <c r="I26" i="2"/>
  <c r="H26" i="2"/>
  <c r="H11" i="2"/>
  <c r="H12" i="2" s="1"/>
  <c r="I11" i="2"/>
  <c r="H17" i="3"/>
  <c r="G17" i="3"/>
  <c r="I16" i="7"/>
  <c r="I18" i="7" s="1"/>
  <c r="J16" i="7"/>
  <c r="J19" i="7" s="1"/>
  <c r="J13" i="7"/>
  <c r="I13" i="7"/>
  <c r="J12" i="7"/>
  <c r="I12" i="7"/>
  <c r="H12" i="7"/>
  <c r="H9" i="7"/>
  <c r="J6" i="7"/>
  <c r="I6" i="7"/>
  <c r="H6" i="7"/>
  <c r="H11" i="5" l="1"/>
  <c r="I12" i="2"/>
  <c r="I20" i="2"/>
  <c r="I21" i="2" s="1"/>
  <c r="H20" i="2"/>
  <c r="H21" i="2" s="1"/>
  <c r="I9" i="7"/>
  <c r="G11" i="5"/>
  <c r="J18" i="7"/>
  <c r="I21" i="7"/>
  <c r="J22" i="7" s="1"/>
  <c r="I19" i="7"/>
  <c r="J21" i="7"/>
  <c r="H14" i="2" l="1"/>
  <c r="H17" i="2"/>
  <c r="H23" i="2"/>
  <c r="H15" i="2"/>
  <c r="H24" i="2"/>
  <c r="I23" i="7"/>
  <c r="I24" i="7"/>
  <c r="J24" i="7"/>
  <c r="J23" i="7"/>
  <c r="J25" i="7" l="1"/>
  <c r="E59" i="5"/>
  <c r="J26" i="2" l="1"/>
  <c r="J11" i="2"/>
  <c r="K27" i="7"/>
  <c r="M27" i="7" l="1"/>
  <c r="L27" i="7"/>
  <c r="N27" i="7" l="1"/>
  <c r="J20" i="3"/>
  <c r="O27" i="7" l="1"/>
  <c r="P27" i="7"/>
  <c r="P38" i="3"/>
  <c r="J27" i="2" l="1"/>
  <c r="K41" i="3"/>
  <c r="I29" i="7"/>
  <c r="L14" i="3" s="1"/>
  <c r="L7" i="3" l="1"/>
  <c r="M7" i="3" s="1"/>
  <c r="N7" i="3" s="1"/>
  <c r="O7" i="3" s="1"/>
  <c r="L12" i="3"/>
  <c r="M12" i="3" s="1"/>
  <c r="N12" i="3" s="1"/>
  <c r="O12" i="3" s="1"/>
  <c r="K33" i="3"/>
  <c r="K27" i="3"/>
  <c r="F21" i="2"/>
  <c r="E21" i="2"/>
  <c r="D21" i="2"/>
  <c r="L8" i="3" l="1"/>
  <c r="M8" i="3" s="1"/>
  <c r="N8" i="3" s="1"/>
  <c r="O8" i="3" s="1"/>
  <c r="P30" i="3" s="1"/>
  <c r="L30" i="3"/>
  <c r="H38" i="3"/>
  <c r="P33" i="3"/>
  <c r="O33" i="3"/>
  <c r="N33" i="3"/>
  <c r="M33" i="3"/>
  <c r="L33" i="3"/>
  <c r="L34" i="3" s="1"/>
  <c r="P27" i="3"/>
  <c r="O27" i="3"/>
  <c r="N27" i="3"/>
  <c r="M27" i="3"/>
  <c r="L27" i="3"/>
  <c r="D37" i="7"/>
  <c r="E3" i="7"/>
  <c r="E6" i="7"/>
  <c r="F6" i="7"/>
  <c r="D7" i="7"/>
  <c r="D9" i="7" s="1"/>
  <c r="E7" i="7"/>
  <c r="F7" i="7"/>
  <c r="E12" i="2" s="1"/>
  <c r="D12" i="7"/>
  <c r="E12" i="7"/>
  <c r="F12" i="7"/>
  <c r="E13" i="7"/>
  <c r="F13" i="7"/>
  <c r="D16" i="7"/>
  <c r="D19" i="7" s="1"/>
  <c r="D21" i="7" s="1"/>
  <c r="E16" i="7"/>
  <c r="E19" i="7" s="1"/>
  <c r="E21" i="7" s="1"/>
  <c r="F16" i="7"/>
  <c r="F18" i="7" s="1"/>
  <c r="D39" i="7"/>
  <c r="E39" i="7"/>
  <c r="F39" i="7"/>
  <c r="D95" i="7"/>
  <c r="E101" i="7"/>
  <c r="E102" i="7" s="1"/>
  <c r="E103" i="7"/>
  <c r="F104" i="7" s="1"/>
  <c r="L35" i="3" l="1"/>
  <c r="P35" i="3"/>
  <c r="F3" i="7"/>
  <c r="F37" i="7" s="1"/>
  <c r="D4" i="3"/>
  <c r="M30" i="3"/>
  <c r="M35" i="3" s="1"/>
  <c r="O30" i="3"/>
  <c r="N30" i="3"/>
  <c r="N35" i="3" s="1"/>
  <c r="D40" i="7"/>
  <c r="L29" i="3"/>
  <c r="E18" i="2"/>
  <c r="E9" i="7"/>
  <c r="D12" i="2"/>
  <c r="E95" i="7"/>
  <c r="E18" i="7"/>
  <c r="F9" i="7"/>
  <c r="O28" i="3"/>
  <c r="N28" i="3"/>
  <c r="P28" i="3"/>
  <c r="M28" i="3"/>
  <c r="F19" i="7"/>
  <c r="F21" i="7" s="1"/>
  <c r="F24" i="7" s="1"/>
  <c r="D18" i="7"/>
  <c r="E37" i="7"/>
  <c r="G3" i="7"/>
  <c r="G37" i="7" s="1"/>
  <c r="F95" i="7"/>
  <c r="E104" i="7"/>
  <c r="E40" i="7"/>
  <c r="D23" i="7"/>
  <c r="D24" i="7"/>
  <c r="E24" i="7"/>
  <c r="E23" i="7"/>
  <c r="F102" i="7"/>
  <c r="P32" i="3" l="1"/>
  <c r="O35" i="3"/>
  <c r="M32" i="3"/>
  <c r="O32" i="3"/>
  <c r="N32" i="3"/>
  <c r="F23" i="7"/>
  <c r="D18" i="2"/>
  <c r="I17" i="2" l="1"/>
  <c r="I14" i="2"/>
  <c r="I23" i="2"/>
  <c r="I24" i="2"/>
  <c r="I15" i="2"/>
  <c r="I11" i="5"/>
  <c r="G16" i="7"/>
  <c r="G19" i="7" s="1"/>
  <c r="G21" i="7" s="1"/>
  <c r="G13" i="7"/>
  <c r="G12" i="7"/>
  <c r="G7" i="7"/>
  <c r="G6" i="7"/>
  <c r="K26" i="2" l="1"/>
  <c r="K11" i="2"/>
  <c r="L31" i="3"/>
  <c r="L37" i="3" s="1"/>
  <c r="L8" i="7"/>
  <c r="G9" i="7"/>
  <c r="F12" i="2"/>
  <c r="G23" i="7"/>
  <c r="G24" i="7"/>
  <c r="G18" i="7"/>
  <c r="M33" i="5"/>
  <c r="M32" i="5" s="1"/>
  <c r="J25" i="5"/>
  <c r="J16" i="5"/>
  <c r="E27" i="3"/>
  <c r="F38" i="3"/>
  <c r="G38" i="3"/>
  <c r="I38" i="3"/>
  <c r="J38" i="3"/>
  <c r="E38" i="3"/>
  <c r="F33" i="3"/>
  <c r="G33" i="3"/>
  <c r="H33" i="3"/>
  <c r="I33" i="3"/>
  <c r="J33" i="3"/>
  <c r="E33" i="3"/>
  <c r="F30" i="3"/>
  <c r="G30" i="3"/>
  <c r="H30" i="3"/>
  <c r="I30" i="3"/>
  <c r="J30" i="3"/>
  <c r="K30" i="3"/>
  <c r="E30" i="3"/>
  <c r="E35" i="3" s="1"/>
  <c r="F27" i="3"/>
  <c r="G27" i="3"/>
  <c r="H27" i="3"/>
  <c r="I27" i="3"/>
  <c r="J27" i="3"/>
  <c r="K28" i="3" s="1"/>
  <c r="I35" i="3" l="1"/>
  <c r="H35" i="3"/>
  <c r="I36" i="3"/>
  <c r="H13" i="2" s="1"/>
  <c r="H16" i="2" s="1"/>
  <c r="F18" i="2"/>
  <c r="H36" i="3"/>
  <c r="G35" i="3"/>
  <c r="J35" i="3"/>
  <c r="L32" i="3"/>
  <c r="L28" i="3"/>
  <c r="G36" i="3"/>
  <c r="F13" i="2" s="1"/>
  <c r="F35" i="3"/>
  <c r="J36" i="3"/>
  <c r="I13" i="2" s="1"/>
  <c r="I16" i="2" s="1"/>
  <c r="F36" i="3"/>
  <c r="E13" i="2" s="1"/>
  <c r="E36" i="3"/>
  <c r="D13" i="2" s="1"/>
  <c r="F40" i="3" l="1"/>
  <c r="G40" i="3"/>
  <c r="H40" i="3"/>
  <c r="I40" i="3"/>
  <c r="J40" i="3"/>
  <c r="E40" i="3"/>
  <c r="F28" i="3"/>
  <c r="G28" i="3"/>
  <c r="H28" i="3"/>
  <c r="I28" i="3"/>
  <c r="J28" i="3"/>
  <c r="F32" i="3"/>
  <c r="G32" i="3"/>
  <c r="H32" i="3"/>
  <c r="I32" i="3"/>
  <c r="J32" i="3"/>
  <c r="K32" i="3"/>
  <c r="M97" i="7"/>
  <c r="M98" i="7"/>
  <c r="M99" i="7"/>
  <c r="L96" i="7"/>
  <c r="M96" i="7" s="1"/>
  <c r="L99" i="7"/>
  <c r="L98" i="7"/>
  <c r="L97" i="7"/>
  <c r="E22" i="3"/>
  <c r="F22" i="3"/>
  <c r="G22" i="3"/>
  <c r="H22" i="3"/>
  <c r="I22" i="3"/>
  <c r="D22" i="3"/>
  <c r="D17" i="3"/>
  <c r="D18" i="3"/>
  <c r="D20" i="3" s="1"/>
  <c r="D21" i="3" l="1"/>
  <c r="M15" i="11" l="1"/>
  <c r="L15" i="11"/>
  <c r="M19" i="11"/>
  <c r="L19" i="11"/>
  <c r="L16" i="11"/>
  <c r="M16" i="11" s="1"/>
  <c r="L13" i="11"/>
  <c r="M13" i="11" s="1"/>
  <c r="L18" i="11"/>
  <c r="M18" i="11" s="1"/>
  <c r="L14" i="11"/>
  <c r="M14" i="11" s="1"/>
  <c r="M9" i="11"/>
  <c r="L9" i="11"/>
  <c r="L8" i="11"/>
  <c r="M8" i="11" s="1"/>
  <c r="E15" i="11"/>
  <c r="F15" i="11"/>
  <c r="G15" i="11"/>
  <c r="H15" i="11"/>
  <c r="I15" i="11"/>
  <c r="J15" i="11"/>
  <c r="K15" i="11"/>
  <c r="D15" i="11"/>
  <c r="N26" i="11"/>
  <c r="N25" i="11"/>
  <c r="F11" i="11"/>
  <c r="G11" i="11"/>
  <c r="H11" i="11"/>
  <c r="I11" i="11"/>
  <c r="J11" i="11"/>
  <c r="K11" i="11"/>
  <c r="E11" i="11"/>
  <c r="F9" i="11"/>
  <c r="G9" i="11"/>
  <c r="H9" i="11"/>
  <c r="I9" i="11"/>
  <c r="J9" i="11"/>
  <c r="K9" i="11"/>
  <c r="E9" i="11"/>
  <c r="R14" i="11"/>
  <c r="R13" i="11"/>
  <c r="R12" i="11"/>
  <c r="R11" i="11"/>
  <c r="R10" i="11"/>
  <c r="R9" i="11"/>
  <c r="R8" i="11"/>
  <c r="E2" i="11"/>
  <c r="F2" i="11" s="1"/>
  <c r="G2" i="11" s="1"/>
  <c r="H2" i="11" s="1"/>
  <c r="I2" i="11" s="1"/>
  <c r="J2" i="11" s="1"/>
  <c r="K2" i="11" s="1"/>
  <c r="L2" i="11" s="1"/>
  <c r="M2" i="11" s="1"/>
  <c r="G25" i="11"/>
  <c r="G27" i="11" s="1"/>
  <c r="J24" i="11" s="1"/>
  <c r="E17" i="11"/>
  <c r="E19" i="11" s="1"/>
  <c r="F17" i="11"/>
  <c r="F19" i="11" s="1"/>
  <c r="G17" i="11"/>
  <c r="G19" i="11" s="1"/>
  <c r="H17" i="11"/>
  <c r="H19" i="11" s="1"/>
  <c r="I17" i="11"/>
  <c r="I19" i="11" s="1"/>
  <c r="J17" i="11"/>
  <c r="J20" i="11" s="1"/>
  <c r="K17" i="11"/>
  <c r="K19" i="11" s="1"/>
  <c r="D17" i="11"/>
  <c r="D20" i="11" s="1"/>
  <c r="E21" i="11"/>
  <c r="F21" i="11"/>
  <c r="G21" i="11"/>
  <c r="H21" i="11"/>
  <c r="I21" i="11"/>
  <c r="J21" i="11"/>
  <c r="K21" i="11"/>
  <c r="D21" i="11"/>
  <c r="P10" i="11"/>
  <c r="D41" i="11"/>
  <c r="D42" i="11" s="1"/>
  <c r="D44" i="11" s="1"/>
  <c r="D45" i="11" s="1"/>
  <c r="D31" i="11"/>
  <c r="D26" i="11"/>
  <c r="E29" i="3"/>
  <c r="F29" i="3"/>
  <c r="G29" i="3"/>
  <c r="H29" i="3"/>
  <c r="I29" i="3"/>
  <c r="J29" i="3"/>
  <c r="K29" i="3"/>
  <c r="E31" i="3"/>
  <c r="F31" i="3"/>
  <c r="G31" i="3"/>
  <c r="H31" i="3"/>
  <c r="I31" i="3"/>
  <c r="J31" i="3"/>
  <c r="K31" i="3"/>
  <c r="E34" i="3"/>
  <c r="F34" i="3"/>
  <c r="G34" i="3"/>
  <c r="H34" i="3"/>
  <c r="I34" i="3"/>
  <c r="D28" i="11" l="1"/>
  <c r="D46" i="11" s="1"/>
  <c r="D47" i="11" s="1"/>
  <c r="D48" i="11" s="1"/>
  <c r="D49" i="11" s="1"/>
  <c r="D33" i="11"/>
  <c r="M21" i="11"/>
  <c r="M17" i="11"/>
  <c r="M20" i="11" s="1"/>
  <c r="L17" i="11"/>
  <c r="L20" i="11" s="1"/>
  <c r="L21" i="11"/>
  <c r="D19" i="11"/>
  <c r="J19" i="11"/>
  <c r="J26" i="11"/>
  <c r="K20" i="11"/>
  <c r="J27" i="11" s="1"/>
  <c r="I20" i="11"/>
  <c r="F20" i="11"/>
  <c r="H20" i="11"/>
  <c r="J25" i="11"/>
  <c r="G20" i="11"/>
  <c r="E20" i="11"/>
  <c r="P19" i="11" l="1"/>
  <c r="H3" i="7" l="1"/>
  <c r="G95" i="7"/>
  <c r="E58" i="5"/>
  <c r="G69" i="5" s="1"/>
  <c r="K18" i="5"/>
  <c r="E9" i="5"/>
  <c r="F9" i="5"/>
  <c r="D9" i="5"/>
  <c r="E4" i="3"/>
  <c r="F4" i="3"/>
  <c r="E26" i="3"/>
  <c r="F26" i="3"/>
  <c r="G26" i="3"/>
  <c r="E5" i="2"/>
  <c r="F5" i="2"/>
  <c r="D5" i="2"/>
  <c r="G39" i="7"/>
  <c r="F40" i="7" s="1"/>
  <c r="H39" i="7"/>
  <c r="I39" i="7"/>
  <c r="J39" i="7"/>
  <c r="K39" i="7"/>
  <c r="K40" i="7" s="1"/>
  <c r="F18" i="3"/>
  <c r="F20" i="3" s="1"/>
  <c r="J34" i="3"/>
  <c r="K34" i="3"/>
  <c r="G104" i="7"/>
  <c r="H104" i="7"/>
  <c r="I104" i="7"/>
  <c r="J104" i="7"/>
  <c r="K104" i="7"/>
  <c r="L104" i="7"/>
  <c r="G66" i="5"/>
  <c r="F17" i="3"/>
  <c r="G18" i="3"/>
  <c r="G20" i="3" s="1"/>
  <c r="H18" i="3"/>
  <c r="H20" i="3" s="1"/>
  <c r="I18" i="3"/>
  <c r="I20" i="3" s="1"/>
  <c r="E17" i="3"/>
  <c r="E18" i="3"/>
  <c r="E20" i="3" s="1"/>
  <c r="G9" i="5" l="1"/>
  <c r="H37" i="7"/>
  <c r="G5" i="2"/>
  <c r="H26" i="3"/>
  <c r="G4" i="3"/>
  <c r="M38" i="5"/>
  <c r="M36" i="5"/>
  <c r="M35" i="5"/>
  <c r="G102" i="7"/>
  <c r="E19" i="3"/>
  <c r="H102" i="7"/>
  <c r="F19" i="3"/>
  <c r="I102" i="7"/>
  <c r="K102" i="7"/>
  <c r="I19" i="3"/>
  <c r="J26" i="5"/>
  <c r="J15" i="5"/>
  <c r="M34" i="5"/>
  <c r="F21" i="3"/>
  <c r="G21" i="3"/>
  <c r="H21" i="3"/>
  <c r="E21" i="3"/>
  <c r="I21" i="3"/>
  <c r="J21" i="3"/>
  <c r="I3" i="7"/>
  <c r="I37" i="7" s="1"/>
  <c r="H95" i="7"/>
  <c r="H37" i="3"/>
  <c r="F37" i="3"/>
  <c r="I79" i="7"/>
  <c r="O79" i="7"/>
  <c r="P79" i="7"/>
  <c r="N79" i="7"/>
  <c r="M79" i="7"/>
  <c r="L79" i="7"/>
  <c r="K79" i="7"/>
  <c r="J79" i="7"/>
  <c r="K37" i="3"/>
  <c r="J37" i="3"/>
  <c r="I37" i="3"/>
  <c r="G37" i="3"/>
  <c r="E37" i="3"/>
  <c r="H40" i="7"/>
  <c r="F18" i="5"/>
  <c r="G40" i="7"/>
  <c r="I40" i="7"/>
  <c r="J40" i="7"/>
  <c r="T8" i="3" l="1"/>
  <c r="G19" i="3"/>
  <c r="L102" i="7"/>
  <c r="D19" i="3"/>
  <c r="H19" i="3"/>
  <c r="G10" i="5"/>
  <c r="I10" i="5"/>
  <c r="E10" i="5"/>
  <c r="F10" i="5"/>
  <c r="H10" i="5"/>
  <c r="J102" i="7"/>
  <c r="M37" i="5"/>
  <c r="Y34" i="3"/>
  <c r="X34" i="3"/>
  <c r="V34" i="3"/>
  <c r="T34" i="3"/>
  <c r="Z34" i="3"/>
  <c r="W34" i="3"/>
  <c r="U34" i="3"/>
  <c r="J3" i="7"/>
  <c r="K3" i="7" s="1"/>
  <c r="L3" i="7" s="1"/>
  <c r="M3" i="7" s="1"/>
  <c r="N3" i="7" s="1"/>
  <c r="O3" i="7" s="1"/>
  <c r="I95" i="7"/>
  <c r="H9" i="5"/>
  <c r="I26" i="3"/>
  <c r="H4" i="3"/>
  <c r="H5" i="2"/>
  <c r="S34" i="3"/>
  <c r="Q34" i="3"/>
  <c r="R34" i="3"/>
  <c r="J37" i="7" l="1"/>
  <c r="I5" i="2"/>
  <c r="J95" i="7"/>
  <c r="I9" i="5"/>
  <c r="J26" i="3"/>
  <c r="I4" i="3"/>
  <c r="K37" i="7" l="1"/>
  <c r="J5" i="2"/>
  <c r="K95" i="7"/>
  <c r="J9" i="5"/>
  <c r="K26" i="3"/>
  <c r="L26" i="3" s="1"/>
  <c r="M26" i="3" s="1"/>
  <c r="N26" i="3" s="1"/>
  <c r="O26" i="3" s="1"/>
  <c r="P26" i="3" s="1"/>
  <c r="J4" i="3"/>
  <c r="K4" i="3" s="1"/>
  <c r="L4" i="3" s="1"/>
  <c r="M4" i="3" s="1"/>
  <c r="N4" i="3" s="1"/>
  <c r="O4" i="3" s="1"/>
  <c r="J22" i="5" l="1"/>
  <c r="K9" i="5"/>
  <c r="K5" i="2"/>
  <c r="L9" i="5" l="1"/>
  <c r="M9" i="5" s="1"/>
  <c r="N9" i="5" s="1"/>
  <c r="O9" i="5" s="1"/>
  <c r="K22" i="5"/>
  <c r="L5" i="2"/>
  <c r="L22" i="5" l="1"/>
  <c r="M22" i="5"/>
  <c r="M5" i="2"/>
  <c r="N22" i="5" l="1"/>
  <c r="P3" i="7"/>
  <c r="N5" i="2"/>
  <c r="O22" i="5" l="1"/>
  <c r="O5" i="2"/>
  <c r="D10" i="5"/>
  <c r="K9" i="3" l="1"/>
  <c r="M14" i="3"/>
  <c r="N14" i="3" s="1"/>
  <c r="O14" i="3" s="1"/>
  <c r="L15" i="3"/>
  <c r="M15" i="3" s="1"/>
  <c r="N15" i="3" s="1"/>
  <c r="O15" i="3" s="1"/>
  <c r="K22" i="3"/>
  <c r="K18" i="3" l="1"/>
  <c r="K17" i="3"/>
  <c r="L9" i="3"/>
  <c r="L6" i="3"/>
  <c r="K11" i="5"/>
  <c r="L41" i="3"/>
  <c r="K27" i="2"/>
  <c r="L10" i="3"/>
  <c r="M10" i="3" s="1"/>
  <c r="N10" i="3" s="1"/>
  <c r="K15" i="5"/>
  <c r="K26" i="5"/>
  <c r="K38" i="3"/>
  <c r="M34" i="3" l="1"/>
  <c r="M29" i="3"/>
  <c r="L11" i="2"/>
  <c r="L26" i="2"/>
  <c r="L17" i="3"/>
  <c r="M9" i="3"/>
  <c r="L18" i="3"/>
  <c r="M6" i="3"/>
  <c r="L38" i="3"/>
  <c r="L27" i="2"/>
  <c r="M8" i="7"/>
  <c r="L22" i="3"/>
  <c r="M22" i="3"/>
  <c r="N5" i="7"/>
  <c r="N7" i="7" s="1"/>
  <c r="M31" i="3"/>
  <c r="N22" i="3"/>
  <c r="O10" i="3"/>
  <c r="O22" i="3" s="1"/>
  <c r="N29" i="3" l="1"/>
  <c r="N34" i="3"/>
  <c r="M37" i="3"/>
  <c r="L11" i="5"/>
  <c r="M26" i="2"/>
  <c r="M11" i="2"/>
  <c r="M17" i="3"/>
  <c r="N9" i="3"/>
  <c r="M18" i="3"/>
  <c r="M41" i="3"/>
  <c r="N6" i="3"/>
  <c r="M38" i="3"/>
  <c r="L21" i="3"/>
  <c r="L16" i="5"/>
  <c r="L20" i="3"/>
  <c r="M16" i="7"/>
  <c r="M17" i="7" s="1"/>
  <c r="L20" i="2" s="1"/>
  <c r="L25" i="5"/>
  <c r="N31" i="3"/>
  <c r="O5" i="7"/>
  <c r="O7" i="7" s="1"/>
  <c r="N37" i="3" l="1"/>
  <c r="O29" i="3"/>
  <c r="O34" i="3"/>
  <c r="L12" i="2"/>
  <c r="L15" i="2" s="1"/>
  <c r="N26" i="2"/>
  <c r="N11" i="2"/>
  <c r="M27" i="2"/>
  <c r="N17" i="3"/>
  <c r="O9" i="3"/>
  <c r="N18" i="3"/>
  <c r="O6" i="3"/>
  <c r="N38" i="3"/>
  <c r="L15" i="5"/>
  <c r="L26" i="5"/>
  <c r="P5" i="7"/>
  <c r="P7" i="7" s="1"/>
  <c r="O31" i="3"/>
  <c r="M19" i="7"/>
  <c r="M21" i="7" s="1"/>
  <c r="L13" i="5" s="1"/>
  <c r="O37" i="3" l="1"/>
  <c r="P29" i="3"/>
  <c r="P34" i="3"/>
  <c r="L14" i="5"/>
  <c r="N27" i="2"/>
  <c r="O26" i="2"/>
  <c r="O11" i="2"/>
  <c r="O17" i="3"/>
  <c r="O18" i="3"/>
  <c r="O38" i="3"/>
  <c r="M23" i="7"/>
  <c r="M24" i="7"/>
  <c r="L19" i="3"/>
  <c r="L23" i="5"/>
  <c r="P31" i="3"/>
  <c r="L21" i="2"/>
  <c r="P37" i="3" l="1"/>
  <c r="O27" i="2"/>
  <c r="L10" i="5"/>
  <c r="M40" i="3"/>
  <c r="L17" i="2"/>
  <c r="L24" i="2"/>
  <c r="L13" i="2"/>
  <c r="L16" i="2" s="1"/>
  <c r="L27" i="5"/>
  <c r="L24" i="5"/>
  <c r="L23" i="2"/>
  <c r="O11" i="7" l="1"/>
  <c r="O16" i="7" s="1"/>
  <c r="N21" i="3" l="1"/>
  <c r="N16" i="5"/>
  <c r="N20" i="3"/>
  <c r="N25" i="5"/>
  <c r="O17" i="7"/>
  <c r="N12" i="2" l="1"/>
  <c r="N14" i="5" s="1"/>
  <c r="O41" i="3"/>
  <c r="N11" i="5"/>
  <c r="O19" i="7"/>
  <c r="O21" i="7" s="1"/>
  <c r="N13" i="5" s="1"/>
  <c r="N20" i="2"/>
  <c r="N21" i="2" s="1"/>
  <c r="N15" i="5"/>
  <c r="N26" i="5"/>
  <c r="N17" i="2" l="1"/>
  <c r="O23" i="7"/>
  <c r="N23" i="5"/>
  <c r="N19" i="3"/>
  <c r="O24" i="7"/>
  <c r="O40" i="3"/>
  <c r="N10" i="5"/>
  <c r="N24" i="2"/>
  <c r="N24" i="5"/>
  <c r="N13" i="2"/>
  <c r="N15" i="2"/>
  <c r="N23" i="2"/>
  <c r="N27" i="5"/>
  <c r="P11" i="7"/>
  <c r="N16" i="2" l="1"/>
  <c r="N18" i="2"/>
  <c r="P13" i="7"/>
  <c r="O15" i="5"/>
  <c r="P16" i="7"/>
  <c r="O20" i="3"/>
  <c r="O25" i="5"/>
  <c r="O21" i="3"/>
  <c r="O16" i="5"/>
  <c r="E16" i="5" s="1"/>
  <c r="P8" i="7" l="1"/>
  <c r="I7" i="5"/>
  <c r="O26" i="5"/>
  <c r="O11" i="5"/>
  <c r="P41" i="3"/>
  <c r="P17" i="7"/>
  <c r="O12" i="2" s="1"/>
  <c r="E15" i="5" l="1"/>
  <c r="O16" i="2"/>
  <c r="O14" i="5"/>
  <c r="O13" i="2"/>
  <c r="O18" i="2" s="1"/>
  <c r="P19" i="7"/>
  <c r="P21" i="7" s="1"/>
  <c r="O13" i="5" s="1"/>
  <c r="O20" i="2"/>
  <c r="O21" i="2" s="1"/>
  <c r="E13" i="5" l="1"/>
  <c r="P24" i="7"/>
  <c r="P25" i="7" s="1"/>
  <c r="O19" i="3"/>
  <c r="O23" i="5"/>
  <c r="P23" i="7"/>
  <c r="P40" i="3"/>
  <c r="O10" i="5"/>
  <c r="O17" i="2"/>
  <c r="O24" i="2"/>
  <c r="O23" i="2"/>
  <c r="O27" i="5"/>
  <c r="O14" i="2"/>
  <c r="O15" i="2"/>
  <c r="E14" i="5"/>
  <c r="O24" i="5"/>
  <c r="J20" i="2" l="1"/>
  <c r="J21" i="2" s="1"/>
  <c r="K19" i="7" l="1"/>
  <c r="J12" i="2"/>
  <c r="J13" i="2" s="1"/>
  <c r="J18" i="2" s="1"/>
  <c r="J23" i="5" l="1"/>
  <c r="J13" i="5"/>
  <c r="K23" i="7"/>
  <c r="J19" i="3"/>
  <c r="K24" i="7"/>
  <c r="E54" i="5"/>
  <c r="J10" i="5"/>
  <c r="J17" i="2"/>
  <c r="J23" i="2"/>
  <c r="J14" i="2"/>
  <c r="J27" i="5"/>
  <c r="J15" i="2"/>
  <c r="J16" i="2"/>
  <c r="J24" i="2"/>
  <c r="J24" i="5"/>
  <c r="K40" i="3"/>
  <c r="J14" i="5"/>
  <c r="K25" i="7" l="1"/>
  <c r="Y33" i="3"/>
  <c r="Z33" i="3"/>
  <c r="U33" i="3"/>
  <c r="R33" i="3"/>
  <c r="X33" i="3"/>
  <c r="V33" i="3"/>
  <c r="T7" i="3"/>
  <c r="W33" i="3"/>
  <c r="S33" i="3"/>
  <c r="Q33" i="3"/>
  <c r="T33" i="3"/>
  <c r="M80" i="7"/>
  <c r="O80" i="7"/>
  <c r="L80" i="7"/>
  <c r="K80" i="7"/>
  <c r="I80" i="7"/>
  <c r="N80" i="7"/>
  <c r="P80" i="7"/>
  <c r="J80" i="7"/>
  <c r="N11" i="7" l="1"/>
  <c r="N13" i="7" s="1"/>
  <c r="N8" i="7" l="1"/>
  <c r="M21" i="3"/>
  <c r="M16" i="5"/>
  <c r="D16" i="5" s="1"/>
  <c r="M26" i="5"/>
  <c r="M11" i="5"/>
  <c r="N16" i="7"/>
  <c r="M20" i="3"/>
  <c r="O13" i="7"/>
  <c r="N41" i="3"/>
  <c r="M15" i="5"/>
  <c r="D15" i="5" s="1"/>
  <c r="M25" i="5"/>
  <c r="Q8" i="7" l="1"/>
  <c r="O8" i="7"/>
  <c r="N17" i="7"/>
  <c r="M20" i="2" l="1"/>
  <c r="M21" i="2" s="1"/>
  <c r="M12" i="2"/>
  <c r="N19" i="7"/>
  <c r="N21" i="7" s="1"/>
  <c r="M23" i="5" l="1"/>
  <c r="N23" i="7"/>
  <c r="M19" i="3"/>
  <c r="N24" i="7"/>
  <c r="M13" i="5"/>
  <c r="D13" i="5" s="1"/>
  <c r="M14" i="5"/>
  <c r="D14" i="5" s="1"/>
  <c r="M27" i="5"/>
  <c r="M10" i="5"/>
  <c r="M23" i="2"/>
  <c r="M14" i="2"/>
  <c r="M17" i="2"/>
  <c r="N40" i="3"/>
  <c r="M15" i="2"/>
  <c r="M13" i="2"/>
  <c r="M24" i="2"/>
  <c r="N14" i="2"/>
  <c r="M24" i="5"/>
  <c r="M16" i="2" l="1"/>
  <c r="M18" i="2"/>
  <c r="N25" i="7"/>
  <c r="O25" i="7"/>
  <c r="L11" i="7"/>
  <c r="K20" i="3" s="1"/>
  <c r="Q12" i="7"/>
  <c r="L16" i="7" l="1"/>
  <c r="K16" i="5"/>
  <c r="M13" i="7"/>
  <c r="K25" i="5"/>
  <c r="K21" i="3"/>
  <c r="L13" i="7"/>
  <c r="L17" i="7" l="1"/>
  <c r="L19" i="7" s="1"/>
  <c r="L21" i="7" s="1"/>
  <c r="L24" i="7" l="1"/>
  <c r="M22" i="7"/>
  <c r="K23" i="5"/>
  <c r="L22" i="7"/>
  <c r="Q22" i="7" s="1"/>
  <c r="K19" i="3"/>
  <c r="L23" i="7"/>
  <c r="K13" i="5"/>
  <c r="K12" i="2"/>
  <c r="K20" i="2"/>
  <c r="K21" i="2" s="1"/>
  <c r="K24" i="2" l="1"/>
  <c r="K23" i="2"/>
  <c r="K24" i="5"/>
  <c r="K17" i="2"/>
  <c r="K15" i="2"/>
  <c r="K10" i="5"/>
  <c r="L40" i="3"/>
  <c r="K27" i="5"/>
  <c r="K14" i="5"/>
  <c r="K14" i="2"/>
  <c r="K13" i="2"/>
  <c r="L14" i="2"/>
  <c r="M25" i="7"/>
  <c r="L25" i="7"/>
  <c r="Q25" i="7" s="1"/>
  <c r="E55" i="5" l="1"/>
  <c r="I56" i="5" s="1"/>
  <c r="K16" i="2"/>
  <c r="K18" i="2"/>
  <c r="I59" i="5" l="1"/>
  <c r="I58" i="5"/>
  <c r="I55" i="5"/>
  <c r="H55" i="5" s="1"/>
  <c r="H56" i="5" s="1"/>
  <c r="H57" i="5" s="1"/>
  <c r="H58" i="5" s="1"/>
  <c r="H59" i="5" s="1"/>
  <c r="G61" i="5" s="1"/>
  <c r="G65" i="5" s="1"/>
  <c r="I57" i="5"/>
  <c r="G63" i="5" l="1"/>
  <c r="G67" i="5" s="1"/>
  <c r="H71" i="5" s="1"/>
  <c r="H72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M35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Veces que se paga el Capital empleado</t>
        </r>
      </text>
    </comment>
    <comment ref="M37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Para no pagar mas por el foso que por el castillo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L25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>Lo optimo es que sea superior a 2. Por debajo de 1 no es muy bueno</t>
        </r>
      </text>
    </comment>
    <comment ref="I26" authorId="0" shapeId="0" xr:uid="{00000000-0006-0000-0500-000002000000}">
      <text>
        <r>
          <rPr>
            <b/>
            <sz val="9"/>
            <color indexed="81"/>
            <rFont val="Tahoma"/>
            <family val="2"/>
          </rPr>
          <t>No se le resta el capex porque las empresas de ingeniería no tienen
porque no son intensivas en capital NORMALMENTE</t>
        </r>
      </text>
    </comment>
    <comment ref="C30" authorId="0" shapeId="0" xr:uid="{00000000-0006-0000-0500-000003000000}">
      <text>
        <r>
          <rPr>
            <b/>
            <sz val="9"/>
            <color indexed="81"/>
            <rFont val="Tahoma"/>
            <family val="2"/>
          </rPr>
          <t>Downpayment/ Anticipos de proveedores</t>
        </r>
      </text>
    </comment>
    <comment ref="C33" authorId="0" shapeId="0" xr:uid="{00000000-0006-0000-0500-000004000000}">
      <text>
        <r>
          <rPr>
            <b/>
            <sz val="9"/>
            <color indexed="81"/>
            <rFont val="Tahoma"/>
            <family val="2"/>
          </rPr>
          <t xml:space="preserve">Lo que vale la cartera de pedidos actual </t>
        </r>
      </text>
    </comment>
    <comment ref="C37" authorId="0" shapeId="0" xr:uid="{00000000-0006-0000-0500-000005000000}">
      <text>
        <r>
          <rPr>
            <b/>
            <sz val="9"/>
            <color indexed="81"/>
            <rFont val="Tahoma"/>
            <family val="2"/>
          </rPr>
          <t>promedio de al menos 10 años</t>
        </r>
      </text>
    </comment>
  </commentList>
</comments>
</file>

<file path=xl/sharedStrings.xml><?xml version="1.0" encoding="utf-8"?>
<sst xmlns="http://schemas.openxmlformats.org/spreadsheetml/2006/main" count="214" uniqueCount="189">
  <si>
    <t>Consolidated Net Income</t>
  </si>
  <si>
    <t>EBITDA</t>
  </si>
  <si>
    <t>EBIT</t>
  </si>
  <si>
    <t>Price target  PER</t>
  </si>
  <si>
    <t>Price target  P/FCF</t>
  </si>
  <si>
    <t>Price target  EV/EBITDA</t>
  </si>
  <si>
    <t>Price target  EV/EBIT</t>
  </si>
  <si>
    <t>CAGR  by PER</t>
  </si>
  <si>
    <t>CAGR  by  P/FCF</t>
  </si>
  <si>
    <t>CAGR by EV/EBITDA</t>
  </si>
  <si>
    <t>CAGR  by EV/EBIT</t>
  </si>
  <si>
    <t>Market cap</t>
  </si>
  <si>
    <t>TAX RATE</t>
  </si>
  <si>
    <t>Stock options (si procede)</t>
  </si>
  <si>
    <t>3 YEARS</t>
  </si>
  <si>
    <t>5 YEARS</t>
  </si>
  <si>
    <t>TAX</t>
  </si>
  <si>
    <t>PER</t>
  </si>
  <si>
    <t>EV/EBITDA</t>
  </si>
  <si>
    <t>EV/EBIT</t>
  </si>
  <si>
    <t>P/FCF</t>
  </si>
  <si>
    <t>Growth Rate:</t>
  </si>
  <si>
    <t>Perpetuidad</t>
  </si>
  <si>
    <t>Tasa de Descuento</t>
  </si>
  <si>
    <t>Acciones</t>
  </si>
  <si>
    <t>Debt Level:</t>
  </si>
  <si>
    <t>Year</t>
  </si>
  <si>
    <t>Flows</t>
  </si>
  <si>
    <t>Growth</t>
  </si>
  <si>
    <t>Initial Cash Flow:</t>
  </si>
  <si>
    <t>SUMA CF 5 AÑOS</t>
  </si>
  <si>
    <t>ACCIONES</t>
  </si>
  <si>
    <t>AÑO TERMINAL</t>
  </si>
  <si>
    <t>VALOR INTRÍNSECO</t>
  </si>
  <si>
    <t>TOTAL CF</t>
  </si>
  <si>
    <t>EXCESO CAJA</t>
  </si>
  <si>
    <t>VALOR TERMINAL</t>
  </si>
  <si>
    <t>FINANCIAL LEVERAGE</t>
  </si>
  <si>
    <t>INVENTARIO</t>
  </si>
  <si>
    <t>RECEIVABLES</t>
  </si>
  <si>
    <t>CAMBIOS EN WC</t>
  </si>
  <si>
    <t>REVENUE</t>
  </si>
  <si>
    <t>AMORT&amp;DEPR</t>
  </si>
  <si>
    <t>EBIT margin %</t>
  </si>
  <si>
    <t>MINORITY INTEREST</t>
  </si>
  <si>
    <t>NET INCOME</t>
  </si>
  <si>
    <t>EBITDA margin %</t>
  </si>
  <si>
    <t>PRETAX INCOME</t>
  </si>
  <si>
    <t>INTEREST INCOME (net)</t>
  </si>
  <si>
    <t>INCOME TAXES</t>
  </si>
  <si>
    <t>Tax rate</t>
  </si>
  <si>
    <t>Net margin %</t>
  </si>
  <si>
    <t>EPS</t>
  </si>
  <si>
    <t>FULLY DILUTED SHARES</t>
  </si>
  <si>
    <t>PAYABLES (pr)</t>
  </si>
  <si>
    <t>Payable period</t>
  </si>
  <si>
    <t>receivable turnover</t>
  </si>
  <si>
    <t xml:space="preserve">Valuation  </t>
  </si>
  <si>
    <t>EBIT growth %</t>
  </si>
  <si>
    <t>Sales Growth %</t>
  </si>
  <si>
    <r>
      <rPr>
        <b/>
        <sz val="12"/>
        <color theme="1"/>
        <rFont val="Calibri"/>
        <family val="2"/>
        <scheme val="minor"/>
      </rPr>
      <t>ROE</t>
    </r>
    <r>
      <rPr>
        <sz val="12"/>
        <color theme="1"/>
        <rFont val="Calibri"/>
        <family val="2"/>
        <scheme val="minor"/>
      </rPr>
      <t xml:space="preserve"> ( net income / equity )</t>
    </r>
  </si>
  <si>
    <r>
      <rPr>
        <b/>
        <sz val="12"/>
        <color theme="1"/>
        <rFont val="Calibri"/>
        <family val="2"/>
        <scheme val="minor"/>
      </rPr>
      <t xml:space="preserve">ROCE </t>
    </r>
    <r>
      <rPr>
        <sz val="12"/>
        <color theme="1"/>
        <rFont val="Calibri"/>
        <family val="2"/>
        <scheme val="minor"/>
      </rPr>
      <t>(EBIT / Capital empleado)</t>
    </r>
  </si>
  <si>
    <t>Rotación de inventario</t>
  </si>
  <si>
    <t>PROYECTAR MÚLTIPLOS</t>
  </si>
  <si>
    <t>Nº tiendas</t>
  </si>
  <si>
    <t>Ventas/nº tiendas</t>
  </si>
  <si>
    <t>Δ Ventas / nº tiendas</t>
  </si>
  <si>
    <t>Same Store Sales</t>
  </si>
  <si>
    <t>Cash and cash equivalents</t>
  </si>
  <si>
    <t>Equity</t>
  </si>
  <si>
    <t>GROWTH</t>
  </si>
  <si>
    <t>VALORAR POR EV/SALES</t>
  </si>
  <si>
    <t>Multiple EV/Sales</t>
  </si>
  <si>
    <t>Price Target EV/SALES</t>
  </si>
  <si>
    <t>EV/Sales</t>
  </si>
  <si>
    <t>EMPRESA</t>
  </si>
  <si>
    <t>RATIOS</t>
  </si>
  <si>
    <t>FCF ajustando WC</t>
  </si>
  <si>
    <t>CASH CONVERSION CYCLE</t>
  </si>
  <si>
    <t>ROE PROMEDIO</t>
  </si>
  <si>
    <t>ROCE PROMEDIO</t>
  </si>
  <si>
    <t>Margen EBIT Promedio</t>
  </si>
  <si>
    <t>Net Margin Promedio</t>
  </si>
  <si>
    <t>g</t>
  </si>
  <si>
    <t>Revenues</t>
  </si>
  <si>
    <t>Order Intake</t>
  </si>
  <si>
    <t>Backlog</t>
  </si>
  <si>
    <t>Amort&amp;Depr</t>
  </si>
  <si>
    <t>EBIT Margin%</t>
  </si>
  <si>
    <t>Interest Income</t>
  </si>
  <si>
    <t>Tax</t>
  </si>
  <si>
    <t>Net Income</t>
  </si>
  <si>
    <t>Fully Diluted Shares</t>
  </si>
  <si>
    <t>Assumed EBIT Margin</t>
  </si>
  <si>
    <t>EBIT generate</t>
  </si>
  <si>
    <t>tax assumed</t>
  </si>
  <si>
    <t>cash net generated</t>
  </si>
  <si>
    <t>net cash</t>
  </si>
  <si>
    <t>prepayments</t>
  </si>
  <si>
    <t>net cash - prepay</t>
  </si>
  <si>
    <t>% of share price</t>
  </si>
  <si>
    <t>DCF INVERSO</t>
  </si>
  <si>
    <t>Order Intake a perpetuidad</t>
  </si>
  <si>
    <t>WACC</t>
  </si>
  <si>
    <t>EBIT generated</t>
  </si>
  <si>
    <t>NOPAT</t>
  </si>
  <si>
    <t>net cash+backlog cash</t>
  </si>
  <si>
    <t>Market Cap Objetivo</t>
  </si>
  <si>
    <t>Per Share</t>
  </si>
  <si>
    <t>Discount to perpetuity</t>
  </si>
  <si>
    <t>precio por accion</t>
  </si>
  <si>
    <t>market cap</t>
  </si>
  <si>
    <t>Valor Residual</t>
  </si>
  <si>
    <t>PROMEDIO</t>
  </si>
  <si>
    <t>Tax rate %</t>
  </si>
  <si>
    <t>PRETAX</t>
  </si>
  <si>
    <t>debt</t>
  </si>
  <si>
    <t>Enterprise Value</t>
  </si>
  <si>
    <t>EUROPE</t>
  </si>
  <si>
    <t>LATAM</t>
  </si>
  <si>
    <t>MIDDLE EAST</t>
  </si>
  <si>
    <t>RoW</t>
  </si>
  <si>
    <t>%</t>
  </si>
  <si>
    <t>Spain</t>
  </si>
  <si>
    <t>BOOK TO BILL RATIO</t>
  </si>
  <si>
    <t>FORWARD ORDER BOOK</t>
  </si>
  <si>
    <t>Upside/Downside</t>
  </si>
  <si>
    <t>VENTAS POR REGION</t>
  </si>
  <si>
    <t>EMEA</t>
  </si>
  <si>
    <t>APAC</t>
  </si>
  <si>
    <t>NA</t>
  </si>
  <si>
    <t>MKT CAP/CAP INV.</t>
  </si>
  <si>
    <t>ROCE</t>
  </si>
  <si>
    <t>Net debt/FCF</t>
  </si>
  <si>
    <t>Activos Corrientes</t>
  </si>
  <si>
    <t>Pasivos Corrientes</t>
  </si>
  <si>
    <t>FCF Yield</t>
  </si>
  <si>
    <t>change %</t>
  </si>
  <si>
    <t xml:space="preserve">Goodwill </t>
  </si>
  <si>
    <t>ROCE A LA INVERSIÓN</t>
  </si>
  <si>
    <t>ROIIC (5y)</t>
  </si>
  <si>
    <t>Capital empleado con goodwill</t>
  </si>
  <si>
    <t>Capital empleado sin goodwill</t>
  </si>
  <si>
    <t xml:space="preserve">Activos </t>
  </si>
  <si>
    <t>Inventario</t>
  </si>
  <si>
    <t>Receivable</t>
  </si>
  <si>
    <t xml:space="preserve">Pasivos   </t>
  </si>
  <si>
    <t>Retornos</t>
  </si>
  <si>
    <t>Payable</t>
  </si>
  <si>
    <t>Intereses Planes de Pensiones (si hay)</t>
  </si>
  <si>
    <t>Free cash flow</t>
  </si>
  <si>
    <t>Free cash flow por accion</t>
  </si>
  <si>
    <t>Deuda neta/Ebitda</t>
  </si>
  <si>
    <t xml:space="preserve"> P/FCF</t>
  </si>
  <si>
    <t xml:space="preserve"> EV/EBITDA</t>
  </si>
  <si>
    <t xml:space="preserve"> EV/EBIT</t>
  </si>
  <si>
    <t>CapEx de mantenimiento o depreciación</t>
  </si>
  <si>
    <t>CAPEX Mantenimiento / Sales</t>
  </si>
  <si>
    <t>CAPEX Mant+Inversión / Sales</t>
  </si>
  <si>
    <t xml:space="preserve">Coste Adquisiciones </t>
  </si>
  <si>
    <t>CaPex de Mantenimiento/ FCF</t>
  </si>
  <si>
    <t>CaPex Mant + Inversion / FCF</t>
  </si>
  <si>
    <t>Net debt/EBITDA</t>
  </si>
  <si>
    <t>FINANCIAL METRICS</t>
  </si>
  <si>
    <t>ESTIMACIONES</t>
  </si>
  <si>
    <t>EBIT MARGEN</t>
  </si>
  <si>
    <r>
      <t xml:space="preserve">SAME STORE SALES </t>
    </r>
    <r>
      <rPr>
        <b/>
        <i/>
        <sz val="12"/>
        <color theme="1"/>
        <rFont val="Calibri"/>
        <family val="2"/>
        <scheme val="minor"/>
      </rPr>
      <t>*(Aplicable a Retails)</t>
    </r>
  </si>
  <si>
    <t>PER DE LAS ADQUISICIONES</t>
  </si>
  <si>
    <t>METODO VALORACIÓN: DESCUENTO DE FLUJOS DE CAJA</t>
  </si>
  <si>
    <t>METODO VALORACIÓN: MULTIPLOS</t>
  </si>
  <si>
    <t>PRECIO ACCIÓN</t>
  </si>
  <si>
    <t xml:space="preserve">Liquidity ratio </t>
  </si>
  <si>
    <t>TRADE WORKING CAPITAL</t>
  </si>
  <si>
    <t>% EBITDA to FCF</t>
  </si>
  <si>
    <t>Free cash flow (- Adquisiciones)</t>
  </si>
  <si>
    <t>Free cash flow por accion (- Adquisiciones)</t>
  </si>
  <si>
    <t>Metricas en el momento de la compra</t>
  </si>
  <si>
    <t>FCF Margin</t>
  </si>
  <si>
    <t>% FCF Yield</t>
  </si>
  <si>
    <t>% FCF Growht</t>
  </si>
  <si>
    <r>
      <rPr>
        <b/>
        <sz val="12"/>
        <color theme="1"/>
        <rFont val="Calibri"/>
        <family val="2"/>
        <scheme val="minor"/>
      </rPr>
      <t>ROCE sin goodwill</t>
    </r>
    <r>
      <rPr>
        <sz val="12"/>
        <color theme="1"/>
        <rFont val="Calibri"/>
        <family val="2"/>
        <scheme val="minor"/>
      </rPr>
      <t>( EBIT / Capital empleado)</t>
    </r>
  </si>
  <si>
    <t>TOTAL COST/INVESTMENT</t>
  </si>
  <si>
    <t>PP&amp;E</t>
  </si>
  <si>
    <t>Deuda total + Leases + Others</t>
  </si>
  <si>
    <t>EBITDA growth %</t>
  </si>
  <si>
    <t>Cyberoo</t>
  </si>
  <si>
    <t>EPS growth</t>
  </si>
  <si>
    <t>Growth Promedio</t>
  </si>
  <si>
    <t>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</si>
</sst>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4" formatCode="_-* #,##0.00\ &quot;€&quot;_-;\-* #,##0.00\ &quot;€&quot;_-;_-* &quot;-&quot;??\ &quot;€&quot;_-;_-@_-"/>
    <numFmt numFmtId="164" formatCode="0.0"/>
    <numFmt numFmtId="165" formatCode="0.0%"/>
    <numFmt numFmtId="166" formatCode="&quot;$&quot;#,##0_);[Red]\(&quot;$&quot;#,##0\)"/>
    <numFmt numFmtId="167" formatCode="#,##0.000_);[Red]\(#,##0.000\)"/>
    <numFmt numFmtId="168" formatCode="#,##0;[Red]#,##0"/>
    <numFmt numFmtId="169" formatCode="#,##0.0_ ;[Red]\-#,##0.0\ "/>
    <numFmt numFmtId="170" formatCode="0.0_ ;[Red]\-0.0\ "/>
    <numFmt numFmtId="171" formatCode="0.00_ ;[Red]\-0.00\ "/>
    <numFmt numFmtId="172" formatCode="0.000"/>
    <numFmt numFmtId="173" formatCode="_-[$$-409]* #,##0.00_ ;_-[$$-409]* \-#,##0.00\ ;_-[$$-409]* &quot;-&quot;??_ ;_-@_ "/>
    <numFmt numFmtId="174" formatCode="0.0000_ ;[Red]\-0.0000\ "/>
    <numFmt numFmtId="175" formatCode="_-[$$-409]* #,##0.000_ ;_-[$$-409]* \-#,##0.000\ ;_-[$$-409]* &quot;-&quot;??_ ;_-@_ "/>
    <numFmt numFmtId="176" formatCode="#,##0.000;[Red]#,##0.000"/>
    <numFmt numFmtId="177" formatCode="0.000_ ;[Red]\-0.000\ "/>
    <numFmt numFmtId="178" formatCode="#,##0.0000_ ;[Red]\-#,##0.0000\ "/>
    <numFmt numFmtId="179" formatCode="0.00000"/>
    <numFmt numFmtId="180" formatCode="_-* #,##0.00\ [$€-C0A]_-;\-* #,##0.00\ [$€-C0A]_-;_-* &quot;-&quot;??\ [$€-C0A]_-;_-@_-"/>
  </numFmts>
  <fonts count="4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17365C"/>
      <name val="Trebuchet MS"/>
      <family val="2"/>
    </font>
    <font>
      <b/>
      <sz val="14"/>
      <color theme="3" tint="0.59999389629810485"/>
      <name val="Trebuchet MS"/>
      <family val="2"/>
    </font>
    <font>
      <b/>
      <sz val="9"/>
      <color indexed="81"/>
      <name val="Tahoma"/>
      <family val="2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color rgb="FF17365C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17365C"/>
      <name val="Trebuchet MS"/>
      <family val="2"/>
    </font>
    <font>
      <sz val="12"/>
      <color theme="0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8"/>
      <color rgb="FF000000"/>
      <name val="Tahoma"/>
      <family val="2"/>
    </font>
    <font>
      <b/>
      <sz val="2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theme="0" tint="-0.14996795556505021"/>
      </left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medium">
        <color auto="1"/>
      </left>
      <right style="thin">
        <color theme="4" tint="0.79998168889431442"/>
      </right>
      <top style="thin">
        <color indexed="64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indexed="64"/>
      </top>
      <bottom style="thin">
        <color theme="4" tint="0.79998168889431442"/>
      </bottom>
      <diagonal/>
    </border>
    <border>
      <left style="medium">
        <color auto="1"/>
      </left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/>
      <right/>
      <top style="thin">
        <color theme="4" tint="0.79998168889431442"/>
      </top>
      <bottom/>
      <diagonal/>
    </border>
    <border>
      <left style="medium">
        <color auto="1"/>
      </left>
      <right/>
      <top style="thin">
        <color theme="4" tint="0.79998168889431442"/>
      </top>
      <bottom/>
      <diagonal/>
    </border>
    <border>
      <left style="medium">
        <color theme="4" tint="0.79998168889431442"/>
      </left>
      <right style="medium">
        <color theme="4" tint="0.79998168889431442"/>
      </right>
      <top style="thin">
        <color indexed="64"/>
      </top>
      <bottom style="thin">
        <color theme="4" tint="0.79998168889431442"/>
      </bottom>
      <diagonal/>
    </border>
    <border>
      <left style="medium">
        <color theme="4" tint="0.79998168889431442"/>
      </left>
      <right style="thin">
        <color theme="4" tint="0.79998168889431442"/>
      </right>
      <top style="thin">
        <color indexed="64"/>
      </top>
      <bottom style="thin">
        <color theme="4" tint="0.79998168889431442"/>
      </bottom>
      <diagonal/>
    </border>
    <border>
      <left style="thin">
        <color indexed="64"/>
      </left>
      <right style="medium">
        <color theme="4" tint="0.79998168889431442"/>
      </right>
      <top style="thin">
        <color indexed="64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indexed="64"/>
      </right>
      <top style="thin">
        <color indexed="64"/>
      </top>
      <bottom style="thin">
        <color theme="4" tint="0.79998168889431442"/>
      </bottom>
      <diagonal/>
    </border>
    <border>
      <left style="thin">
        <color indexed="64"/>
      </left>
      <right style="medium">
        <color theme="4" tint="0.79998168889431442"/>
      </right>
      <top style="medium">
        <color indexed="64"/>
      </top>
      <bottom style="thin">
        <color indexed="64"/>
      </bottom>
      <diagonal/>
    </border>
    <border>
      <left style="medium">
        <color theme="4" tint="0.79998168889431442"/>
      </left>
      <right style="medium">
        <color theme="4" tint="0.79998168889431442"/>
      </right>
      <top style="medium">
        <color indexed="64"/>
      </top>
      <bottom style="thin">
        <color indexed="64"/>
      </bottom>
      <diagonal/>
    </border>
    <border>
      <left style="thin">
        <color theme="4" tint="0.79998168889431442"/>
      </left>
      <right style="thin">
        <color theme="4" tint="0.79998168889431442"/>
      </right>
      <top style="medium">
        <color indexed="64"/>
      </top>
      <bottom style="thin">
        <color indexed="64"/>
      </bottom>
      <diagonal/>
    </border>
    <border>
      <left style="thin">
        <color theme="4" tint="0.79998168889431442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auto="1"/>
      </left>
      <right style="thin">
        <color theme="4" tint="0.79998168889431442"/>
      </right>
      <top style="medium">
        <color indexed="64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 style="medium">
        <color indexed="64"/>
      </top>
      <bottom style="thin">
        <color theme="4" tint="0.7999816888943144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auto="1"/>
      </left>
      <right style="thin">
        <color theme="4" tint="0.79998168889431442"/>
      </right>
      <top/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/>
      <bottom style="thin">
        <color theme="4" tint="0.79998168889431442"/>
      </bottom>
      <diagonal/>
    </border>
    <border>
      <left style="medium">
        <color indexed="64"/>
      </left>
      <right/>
      <top style="medium">
        <color indexed="64"/>
      </top>
      <bottom style="thin">
        <color theme="4" tint="0.79998168889431442"/>
      </bottom>
      <diagonal/>
    </border>
    <border>
      <left style="thin">
        <color theme="4" tint="0.79998168889431442"/>
      </left>
      <right/>
      <top style="medium">
        <color indexed="64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/>
      <bottom/>
      <diagonal/>
    </border>
    <border>
      <left style="medium">
        <color auto="1"/>
      </left>
      <right style="thin">
        <color theme="4" tint="0.79998168889431442"/>
      </right>
      <top style="medium">
        <color indexed="64"/>
      </top>
      <bottom style="medium">
        <color indexed="64"/>
      </bottom>
      <diagonal/>
    </border>
    <border>
      <left style="thin">
        <color theme="4" tint="0.79998168889431442"/>
      </left>
      <right style="thin">
        <color theme="4" tint="0.79998168889431442"/>
      </right>
      <top style="medium">
        <color indexed="64"/>
      </top>
      <bottom style="medium">
        <color indexed="64"/>
      </bottom>
      <diagonal/>
    </border>
    <border>
      <left style="thin">
        <color theme="4" tint="0.7999816888943144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4" tint="0.79998168889431442"/>
      </left>
      <right/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/>
      <top/>
      <bottom style="thin">
        <color theme="4" tint="0.79998168889431442"/>
      </bottom>
      <diagonal/>
    </border>
    <border>
      <left style="medium">
        <color indexed="64"/>
      </left>
      <right style="medium">
        <color indexed="64"/>
      </right>
      <top/>
      <bottom style="thin">
        <color theme="4" tint="0.79998168889431442"/>
      </bottom>
      <diagonal/>
    </border>
    <border>
      <left style="medium">
        <color auto="1"/>
      </left>
      <right style="thin">
        <color theme="4" tint="0.79998168889431442"/>
      </right>
      <top style="thin">
        <color theme="4" tint="0.79998168889431442"/>
      </top>
      <bottom/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/>
      <diagonal/>
    </border>
    <border>
      <left style="thin">
        <color theme="4" tint="0.79998168889431442"/>
      </left>
      <right/>
      <top style="thin">
        <color theme="4" tint="0.79998168889431442"/>
      </top>
      <bottom/>
      <diagonal/>
    </border>
    <border>
      <left style="thin">
        <color theme="4" tint="0.79998168889431442"/>
      </left>
      <right style="medium">
        <color indexed="64"/>
      </right>
      <top style="medium">
        <color indexed="64"/>
      </top>
      <bottom style="thin">
        <color theme="4" tint="0.79998168889431442"/>
      </bottom>
      <diagonal/>
    </border>
    <border>
      <left style="thin">
        <color theme="4" tint="0.79998168889431442"/>
      </left>
      <right style="medium">
        <color indexed="64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 style="medium">
        <color indexed="64"/>
      </bottom>
      <diagonal/>
    </border>
    <border>
      <left style="thin">
        <color theme="4" tint="0.79998168889431442"/>
      </left>
      <right style="medium">
        <color indexed="64"/>
      </right>
      <top style="thin">
        <color theme="4" tint="0.79998168889431442"/>
      </top>
      <bottom style="medium">
        <color indexed="64"/>
      </bottom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0.59996337778862885"/>
      </top>
      <bottom style="thin">
        <color theme="4" tint="0.59996337778862885"/>
      </bottom>
      <diagonal/>
    </border>
    <border>
      <left style="medium">
        <color indexed="64"/>
      </left>
      <right style="thin">
        <color theme="4" tint="0.59996337778862885"/>
      </right>
      <top style="thin">
        <color theme="4" tint="0.59996337778862885"/>
      </top>
      <bottom style="thin">
        <color indexed="64"/>
      </bottom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0.59996337778862885"/>
      </top>
      <bottom style="thin">
        <color indexed="64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4" tint="0.79998168889431442"/>
      </right>
      <top style="thin">
        <color theme="4" tint="0.79998168889431442"/>
      </top>
      <bottom style="medium">
        <color indexed="64"/>
      </bottom>
      <diagonal/>
    </border>
    <border>
      <left style="medium">
        <color indexed="64"/>
      </left>
      <right style="thin">
        <color theme="3" tint="0.79998168889431442"/>
      </right>
      <top style="thin">
        <color theme="3" tint="0.79998168889431442"/>
      </top>
      <bottom style="thin">
        <color theme="4" tint="0.59996337778862885"/>
      </bottom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8168889431442"/>
      </top>
      <bottom style="thin">
        <color theme="4" tint="0.59996337778862885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4" tint="0.59996337778862885"/>
      </right>
      <top style="thin">
        <color theme="4" tint="0.59996337778862885"/>
      </top>
      <bottom style="thin">
        <color theme="4" tint="0.59996337778862885"/>
      </bottom>
      <diagonal/>
    </border>
    <border>
      <left style="medium">
        <color auto="1"/>
      </left>
      <right style="medium">
        <color theme="4" tint="0.79998168889431442"/>
      </right>
      <top style="thin">
        <color indexed="64"/>
      </top>
      <bottom style="thin">
        <color theme="4" tint="0.7999816888943144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theme="4" tint="0.79998168889431442"/>
      </left>
      <right/>
      <top style="thin">
        <color indexed="64"/>
      </top>
      <bottom/>
      <diagonal/>
    </border>
    <border>
      <left style="thin">
        <color theme="3" tint="0.79998168889431442"/>
      </left>
      <right/>
      <top style="thin">
        <color theme="3" tint="0.79998168889431442"/>
      </top>
      <bottom style="thin">
        <color theme="4" tint="0.59996337778862885"/>
      </bottom>
      <diagonal/>
    </border>
    <border>
      <left style="thin">
        <color theme="4" tint="0.59996337778862885"/>
      </left>
      <right style="thin">
        <color theme="4" tint="0.59996337778862885"/>
      </right>
      <top/>
      <bottom style="thin">
        <color theme="4" tint="0.59996337778862885"/>
      </bottom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0.59996337778862885"/>
      </top>
      <bottom/>
      <diagonal/>
    </border>
    <border>
      <left style="medium">
        <color indexed="64"/>
      </left>
      <right style="thin">
        <color theme="4" tint="0.59996337778862885"/>
      </right>
      <top/>
      <bottom style="thin">
        <color theme="4" tint="0.59996337778862885"/>
      </bottom>
      <diagonal/>
    </border>
    <border>
      <left style="thin">
        <color theme="4" tint="0.59996337778862885"/>
      </left>
      <right style="medium">
        <color indexed="64"/>
      </right>
      <top/>
      <bottom style="thin">
        <color theme="4" tint="0.59996337778862885"/>
      </bottom>
      <diagonal/>
    </border>
    <border>
      <left style="thin">
        <color theme="4" tint="0.59996337778862885"/>
      </left>
      <right style="medium">
        <color indexed="64"/>
      </right>
      <top style="thin">
        <color theme="4" tint="0.59996337778862885"/>
      </top>
      <bottom style="thin">
        <color theme="4" tint="0.59996337778862885"/>
      </bottom>
      <diagonal/>
    </border>
    <border>
      <left style="medium">
        <color indexed="64"/>
      </left>
      <right style="thin">
        <color theme="4" tint="0.59996337778862885"/>
      </right>
      <top style="thin">
        <color theme="4" tint="0.59996337778862885"/>
      </top>
      <bottom/>
      <diagonal/>
    </border>
    <border>
      <left style="thin">
        <color theme="4" tint="0.59996337778862885"/>
      </left>
      <right style="medium">
        <color indexed="64"/>
      </right>
      <top style="thin">
        <color theme="4" tint="0.59996337778862885"/>
      </top>
      <bottom/>
      <diagonal/>
    </border>
    <border>
      <left style="medium">
        <color indexed="64"/>
      </left>
      <right style="thin">
        <color theme="4" tint="0.79998168889431442"/>
      </right>
      <top/>
      <bottom/>
      <diagonal/>
    </border>
    <border>
      <left style="thin">
        <color theme="4" tint="0.79998168889431442"/>
      </left>
      <right style="medium">
        <color indexed="64"/>
      </right>
      <top/>
      <bottom/>
      <diagonal/>
    </border>
    <border>
      <left style="thin">
        <color theme="4" tint="0.59996337778862885"/>
      </left>
      <right style="medium">
        <color indexed="64"/>
      </right>
      <top style="thin">
        <color theme="4" tint="0.59996337778862885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auto="1"/>
      </left>
      <right style="thin">
        <color theme="4" tint="0.79998168889431442"/>
      </right>
      <top style="thin">
        <color indexed="64"/>
      </top>
      <bottom style="medium">
        <color indexed="64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 tint="0.79998168889431442"/>
      </left>
      <right/>
      <top style="thin">
        <color indexed="64"/>
      </top>
      <bottom style="thin">
        <color theme="4" tint="0.79998168889431442"/>
      </bottom>
      <diagonal/>
    </border>
    <border>
      <left style="thin">
        <color theme="4" tint="0.79998168889431442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2" fillId="0" borderId="0" applyFont="0" applyFill="0" applyBorder="0" applyAlignment="0" applyProtection="0"/>
    <xf numFmtId="44" fontId="12" fillId="0" borderId="0" applyFont="0" applyFill="0" applyBorder="0" applyAlignment="0" applyProtection="0"/>
  </cellStyleXfs>
  <cellXfs count="730">
    <xf numFmtId="0" fontId="0" fillId="0" borderId="0" xfId="0"/>
    <xf numFmtId="0" fontId="0" fillId="4" borderId="0" xfId="0" applyFill="1"/>
    <xf numFmtId="0" fontId="0" fillId="4" borderId="0" xfId="0" applyFill="1" applyBorder="1"/>
    <xf numFmtId="0" fontId="0" fillId="4" borderId="0" xfId="0" applyFill="1" applyBorder="1" applyAlignment="1">
      <alignment horizontal="center" wrapText="1"/>
    </xf>
    <xf numFmtId="0" fontId="17" fillId="4" borderId="0" xfId="0" applyFont="1" applyFill="1" applyBorder="1"/>
    <xf numFmtId="0" fontId="0" fillId="4" borderId="0" xfId="0" applyFill="1" applyAlignment="1">
      <alignment vertical="center"/>
    </xf>
    <xf numFmtId="2" fontId="14" fillId="0" borderId="0" xfId="0" applyNumberFormat="1" applyFont="1" applyFill="1" applyBorder="1" applyAlignment="1" applyProtection="1">
      <alignment vertical="center"/>
    </xf>
    <xf numFmtId="0" fontId="19" fillId="4" borderId="0" xfId="0" applyFont="1" applyFill="1"/>
    <xf numFmtId="0" fontId="19" fillId="4" borderId="0" xfId="0" applyFont="1" applyFill="1" applyBorder="1"/>
    <xf numFmtId="0" fontId="19" fillId="0" borderId="0" xfId="0" applyFont="1"/>
    <xf numFmtId="9" fontId="0" fillId="4" borderId="0" xfId="0" applyNumberFormat="1" applyFill="1" applyAlignment="1">
      <alignment horizontal="left"/>
    </xf>
    <xf numFmtId="0" fontId="0" fillId="0" borderId="0" xfId="0" applyFont="1"/>
    <xf numFmtId="49" fontId="25" fillId="0" borderId="0" xfId="0" applyNumberFormat="1" applyFont="1" applyAlignment="1">
      <alignment horizontal="center"/>
    </xf>
    <xf numFmtId="0" fontId="25" fillId="0" borderId="0" xfId="0" applyFont="1" applyBorder="1" applyAlignment="1">
      <alignment horizontal="center"/>
    </xf>
    <xf numFmtId="38" fontId="25" fillId="0" borderId="0" xfId="0" applyNumberFormat="1" applyFont="1" applyBorder="1" applyAlignment="1">
      <alignment horizontal="center"/>
    </xf>
    <xf numFmtId="9" fontId="25" fillId="0" borderId="0" xfId="0" applyNumberFormat="1" applyFont="1" applyBorder="1" applyAlignment="1">
      <alignment horizontal="center"/>
    </xf>
    <xf numFmtId="166" fontId="25" fillId="0" borderId="0" xfId="0" applyNumberFormat="1" applyFont="1" applyBorder="1" applyAlignment="1">
      <alignment horizontal="center"/>
    </xf>
    <xf numFmtId="167" fontId="25" fillId="0" borderId="0" xfId="0" applyNumberFormat="1" applyFont="1" applyBorder="1" applyAlignment="1">
      <alignment horizontal="center"/>
    </xf>
    <xf numFmtId="0" fontId="21" fillId="0" borderId="0" xfId="0" applyFont="1" applyAlignment="1">
      <alignment horizontal="right"/>
    </xf>
    <xf numFmtId="9" fontId="0" fillId="0" borderId="0" xfId="0" applyNumberFormat="1" applyFont="1" applyBorder="1" applyAlignment="1">
      <alignment horizontal="center"/>
    </xf>
    <xf numFmtId="168" fontId="25" fillId="0" borderId="2" xfId="0" applyNumberFormat="1" applyFont="1" applyBorder="1" applyAlignment="1">
      <alignment horizontal="center"/>
    </xf>
    <xf numFmtId="2" fontId="25" fillId="0" borderId="0" xfId="0" applyNumberFormat="1" applyFont="1" applyAlignment="1">
      <alignment horizontal="center"/>
    </xf>
    <xf numFmtId="2" fontId="25" fillId="0" borderId="0" xfId="0" applyNumberFormat="1" applyFont="1"/>
    <xf numFmtId="38" fontId="25" fillId="6" borderId="0" xfId="0" applyNumberFormat="1" applyFont="1" applyFill="1" applyBorder="1" applyAlignment="1">
      <alignment horizontal="center"/>
    </xf>
    <xf numFmtId="0" fontId="25" fillId="6" borderId="3" xfId="0" applyFont="1" applyFill="1" applyBorder="1" applyAlignment="1">
      <alignment horizontal="center"/>
    </xf>
    <xf numFmtId="9" fontId="25" fillId="6" borderId="8" xfId="0" applyNumberFormat="1" applyFont="1" applyFill="1" applyBorder="1" applyAlignment="1">
      <alignment horizontal="center"/>
    </xf>
    <xf numFmtId="0" fontId="25" fillId="6" borderId="12" xfId="0" applyFont="1" applyFill="1" applyBorder="1" applyAlignment="1">
      <alignment horizontal="center"/>
    </xf>
    <xf numFmtId="38" fontId="25" fillId="6" borderId="4" xfId="0" applyNumberFormat="1" applyFont="1" applyFill="1" applyBorder="1" applyAlignment="1">
      <alignment horizontal="center"/>
    </xf>
    <xf numFmtId="9" fontId="25" fillId="6" borderId="13" xfId="0" applyNumberFormat="1" applyFont="1" applyFill="1" applyBorder="1" applyAlignment="1">
      <alignment horizontal="center"/>
    </xf>
    <xf numFmtId="0" fontId="0" fillId="0" borderId="0" xfId="0" applyBorder="1"/>
    <xf numFmtId="2" fontId="0" fillId="0" borderId="0" xfId="0" applyNumberFormat="1" applyFont="1"/>
    <xf numFmtId="38" fontId="0" fillId="0" borderId="1" xfId="0" applyNumberFormat="1" applyFont="1" applyBorder="1" applyAlignment="1">
      <alignment horizontal="center"/>
    </xf>
    <xf numFmtId="0" fontId="0" fillId="6" borderId="10" xfId="0" applyFill="1" applyBorder="1"/>
    <xf numFmtId="2" fontId="25" fillId="6" borderId="11" xfId="0" applyNumberFormat="1" applyFont="1" applyFill="1" applyBorder="1" applyAlignment="1">
      <alignment horizontal="center"/>
    </xf>
    <xf numFmtId="2" fontId="25" fillId="6" borderId="0" xfId="0" applyNumberFormat="1" applyFont="1" applyFill="1" applyBorder="1"/>
    <xf numFmtId="2" fontId="25" fillId="6" borderId="8" xfId="0" applyNumberFormat="1" applyFont="1" applyFill="1" applyBorder="1"/>
    <xf numFmtId="2" fontId="25" fillId="6" borderId="8" xfId="0" applyNumberFormat="1" applyFont="1" applyFill="1" applyBorder="1" applyAlignment="1">
      <alignment horizontal="center"/>
    </xf>
    <xf numFmtId="2" fontId="25" fillId="6" borderId="4" xfId="0" applyNumberFormat="1" applyFont="1" applyFill="1" applyBorder="1"/>
    <xf numFmtId="2" fontId="25" fillId="6" borderId="13" xfId="0" applyNumberFormat="1" applyFont="1" applyFill="1" applyBorder="1" applyAlignment="1">
      <alignment horizontal="center"/>
    </xf>
    <xf numFmtId="0" fontId="13" fillId="4" borderId="0" xfId="0" applyFont="1" applyFill="1" applyAlignment="1">
      <alignment horizontal="left" vertical="center"/>
    </xf>
    <xf numFmtId="2" fontId="15" fillId="0" borderId="0" xfId="0" applyNumberFormat="1" applyFont="1" applyFill="1" applyBorder="1" applyAlignment="1" applyProtection="1">
      <alignment vertical="center"/>
    </xf>
    <xf numFmtId="0" fontId="19" fillId="0" borderId="3" xfId="0" applyFont="1" applyBorder="1"/>
    <xf numFmtId="2" fontId="31" fillId="0" borderId="0" xfId="0" applyNumberFormat="1" applyFont="1" applyFill="1" applyBorder="1" applyAlignment="1" applyProtection="1">
      <alignment vertical="center"/>
    </xf>
    <xf numFmtId="0" fontId="19" fillId="4" borderId="0" xfId="0" applyFont="1" applyFill="1" applyBorder="1" applyAlignment="1">
      <alignment horizontal="center" wrapText="1"/>
    </xf>
    <xf numFmtId="164" fontId="19" fillId="4" borderId="0" xfId="0" applyNumberFormat="1" applyFont="1" applyFill="1" applyBorder="1"/>
    <xf numFmtId="0" fontId="19" fillId="0" borderId="3" xfId="0" applyFont="1" applyBorder="1" applyProtection="1"/>
    <xf numFmtId="0" fontId="17" fillId="0" borderId="12" xfId="0" applyFont="1" applyBorder="1" applyProtection="1"/>
    <xf numFmtId="0" fontId="0" fillId="0" borderId="0" xfId="0" applyProtection="1"/>
    <xf numFmtId="0" fontId="17" fillId="4" borderId="9" xfId="0" applyFont="1" applyFill="1" applyBorder="1" applyAlignment="1" applyProtection="1">
      <alignment horizontal="left" vertical="center"/>
    </xf>
    <xf numFmtId="1" fontId="17" fillId="4" borderId="9" xfId="0" applyNumberFormat="1" applyFont="1" applyFill="1" applyBorder="1" applyAlignment="1" applyProtection="1">
      <alignment horizontal="center" vertical="center" wrapText="1"/>
    </xf>
    <xf numFmtId="1" fontId="17" fillId="4" borderId="10" xfId="0" applyNumberFormat="1" applyFont="1" applyFill="1" applyBorder="1" applyAlignment="1" applyProtection="1">
      <alignment horizontal="center" vertical="center" wrapText="1"/>
    </xf>
    <xf numFmtId="164" fontId="19" fillId="4" borderId="5" xfId="0" applyNumberFormat="1" applyFont="1" applyFill="1" applyBorder="1" applyAlignment="1" applyProtection="1">
      <alignment horizontal="center" vertical="center" wrapText="1"/>
    </xf>
    <xf numFmtId="164" fontId="19" fillId="4" borderId="0" xfId="0" applyNumberFormat="1" applyFont="1" applyFill="1" applyBorder="1" applyAlignment="1" applyProtection="1">
      <alignment horizontal="center" vertical="center" wrapText="1"/>
    </xf>
    <xf numFmtId="0" fontId="17" fillId="4" borderId="0" xfId="0" applyFont="1" applyFill="1" applyProtection="1"/>
    <xf numFmtId="0" fontId="17" fillId="0" borderId="18" xfId="0" applyFont="1" applyBorder="1" applyAlignment="1" applyProtection="1">
      <alignment vertical="center"/>
    </xf>
    <xf numFmtId="0" fontId="19" fillId="0" borderId="0" xfId="0" applyFont="1" applyProtection="1"/>
    <xf numFmtId="0" fontId="19" fillId="4" borderId="0" xfId="0" applyFont="1" applyFill="1" applyBorder="1" applyAlignment="1" applyProtection="1">
      <alignment horizontal="center" wrapText="1"/>
    </xf>
    <xf numFmtId="0" fontId="19" fillId="4" borderId="0" xfId="0" applyFont="1" applyFill="1" applyBorder="1" applyAlignment="1" applyProtection="1">
      <alignment horizontal="center" vertical="center" wrapText="1"/>
    </xf>
    <xf numFmtId="0" fontId="19" fillId="4" borderId="0" xfId="0" applyFont="1" applyFill="1" applyProtection="1"/>
    <xf numFmtId="0" fontId="32" fillId="4" borderId="0" xfId="0" applyFont="1" applyFill="1" applyBorder="1" applyAlignment="1" applyProtection="1">
      <alignment horizontal="center" wrapText="1"/>
      <protection locked="0"/>
    </xf>
    <xf numFmtId="0" fontId="0" fillId="5" borderId="1" xfId="0" applyFill="1" applyBorder="1" applyAlignment="1" applyProtection="1">
      <alignment horizontal="center" vertical="center"/>
      <protection locked="0"/>
    </xf>
    <xf numFmtId="0" fontId="23" fillId="2" borderId="9" xfId="0" applyFont="1" applyFill="1" applyBorder="1" applyAlignment="1" applyProtection="1">
      <alignment horizontal="center"/>
    </xf>
    <xf numFmtId="0" fontId="23" fillId="2" borderId="10" xfId="0" applyFont="1" applyFill="1" applyBorder="1" applyAlignment="1" applyProtection="1">
      <alignment horizontal="center"/>
    </xf>
    <xf numFmtId="0" fontId="19" fillId="4" borderId="0" xfId="0" applyFont="1" applyFill="1" applyBorder="1" applyProtection="1"/>
    <xf numFmtId="2" fontId="22" fillId="0" borderId="0" xfId="0" applyNumberFormat="1" applyFont="1" applyFill="1" applyBorder="1" applyAlignment="1" applyProtection="1">
      <alignment vertical="center"/>
    </xf>
    <xf numFmtId="0" fontId="0" fillId="4" borderId="0" xfId="0" applyFill="1" applyBorder="1" applyAlignment="1" applyProtection="1">
      <alignment horizontal="center" wrapText="1"/>
    </xf>
    <xf numFmtId="0" fontId="17" fillId="4" borderId="0" xfId="0" applyFont="1" applyFill="1" applyBorder="1" applyProtection="1"/>
    <xf numFmtId="0" fontId="0" fillId="4" borderId="0" xfId="0" applyFill="1" applyBorder="1" applyProtection="1"/>
    <xf numFmtId="0" fontId="0" fillId="4" borderId="0" xfId="0" applyFill="1" applyProtection="1"/>
    <xf numFmtId="0" fontId="32" fillId="4" borderId="0" xfId="0" applyFont="1" applyFill="1" applyProtection="1">
      <protection locked="0"/>
    </xf>
    <xf numFmtId="0" fontId="17" fillId="0" borderId="0" xfId="0" applyFont="1" applyProtection="1"/>
    <xf numFmtId="9" fontId="0" fillId="0" borderId="1" xfId="0" applyNumberFormat="1" applyFont="1" applyBorder="1" applyAlignment="1" applyProtection="1">
      <alignment horizontal="center"/>
      <protection locked="0"/>
    </xf>
    <xf numFmtId="2" fontId="19" fillId="4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28" fillId="0" borderId="0" xfId="0" applyFont="1" applyProtection="1"/>
    <xf numFmtId="0" fontId="0" fillId="0" borderId="23" xfId="0" applyBorder="1" applyAlignment="1" applyProtection="1">
      <alignment horizontal="left"/>
    </xf>
    <xf numFmtId="0" fontId="0" fillId="0" borderId="18" xfId="0" applyBorder="1" applyAlignment="1" applyProtection="1">
      <alignment horizontal="left"/>
    </xf>
    <xf numFmtId="170" fontId="0" fillId="0" borderId="18" xfId="0" applyNumberFormat="1" applyBorder="1" applyProtection="1"/>
    <xf numFmtId="170" fontId="0" fillId="0" borderId="0" xfId="0" applyNumberFormat="1" applyBorder="1" applyProtection="1"/>
    <xf numFmtId="170" fontId="0" fillId="0" borderId="6" xfId="0" applyNumberFormat="1" applyBorder="1" applyProtection="1"/>
    <xf numFmtId="0" fontId="19" fillId="0" borderId="9" xfId="0" applyFont="1" applyBorder="1"/>
    <xf numFmtId="0" fontId="19" fillId="0" borderId="12" xfId="0" applyFont="1" applyBorder="1"/>
    <xf numFmtId="0" fontId="19" fillId="0" borderId="0" xfId="0" applyFont="1" applyBorder="1"/>
    <xf numFmtId="0" fontId="19" fillId="0" borderId="47" xfId="0" applyFont="1" applyBorder="1"/>
    <xf numFmtId="0" fontId="19" fillId="0" borderId="48" xfId="0" applyFont="1" applyBorder="1"/>
    <xf numFmtId="0" fontId="19" fillId="0" borderId="2" xfId="0" applyFont="1" applyBorder="1"/>
    <xf numFmtId="0" fontId="23" fillId="3" borderId="10" xfId="0" applyFont="1" applyFill="1" applyBorder="1" applyAlignment="1" applyProtection="1">
      <alignment horizontal="center"/>
    </xf>
    <xf numFmtId="0" fontId="19" fillId="0" borderId="8" xfId="0" applyFont="1" applyBorder="1"/>
    <xf numFmtId="2" fontId="17" fillId="11" borderId="49" xfId="0" applyNumberFormat="1" applyFont="1" applyFill="1" applyBorder="1" applyProtection="1">
      <protection locked="0"/>
    </xf>
    <xf numFmtId="2" fontId="17" fillId="11" borderId="50" xfId="0" applyNumberFormat="1" applyFont="1" applyFill="1" applyBorder="1" applyProtection="1">
      <protection locked="0"/>
    </xf>
    <xf numFmtId="2" fontId="17" fillId="7" borderId="50" xfId="0" applyNumberFormat="1" applyFont="1" applyFill="1" applyBorder="1" applyProtection="1">
      <protection locked="0"/>
    </xf>
    <xf numFmtId="0" fontId="19" fillId="7" borderId="1" xfId="0" applyFont="1" applyFill="1" applyBorder="1" applyProtection="1">
      <protection locked="0"/>
    </xf>
    <xf numFmtId="2" fontId="19" fillId="0" borderId="0" xfId="0" applyNumberFormat="1" applyFont="1" applyBorder="1"/>
    <xf numFmtId="2" fontId="19" fillId="0" borderId="3" xfId="0" applyNumberFormat="1" applyFont="1" applyBorder="1"/>
    <xf numFmtId="0" fontId="17" fillId="0" borderId="9" xfId="0" applyFont="1" applyBorder="1"/>
    <xf numFmtId="0" fontId="23" fillId="2" borderId="47" xfId="0" applyFont="1" applyFill="1" applyBorder="1" applyAlignment="1" applyProtection="1">
      <alignment horizontal="center"/>
    </xf>
    <xf numFmtId="164" fontId="19" fillId="0" borderId="48" xfId="0" applyNumberFormat="1" applyFont="1" applyBorder="1"/>
    <xf numFmtId="0" fontId="17" fillId="4" borderId="1" xfId="0" applyFont="1" applyFill="1" applyBorder="1" applyAlignment="1">
      <alignment vertical="center"/>
    </xf>
    <xf numFmtId="0" fontId="0" fillId="0" borderId="15" xfId="0" applyBorder="1"/>
    <xf numFmtId="0" fontId="0" fillId="0" borderId="16" xfId="0" applyBorder="1"/>
    <xf numFmtId="2" fontId="23" fillId="0" borderId="9" xfId="0" applyNumberFormat="1" applyFont="1" applyFill="1" applyBorder="1" applyAlignment="1" applyProtection="1">
      <alignment vertical="center"/>
    </xf>
    <xf numFmtId="0" fontId="0" fillId="0" borderId="0" xfId="0"/>
    <xf numFmtId="0" fontId="17" fillId="4" borderId="0" xfId="0" applyFont="1" applyFill="1" applyBorder="1" applyAlignment="1" applyProtection="1">
      <alignment horizontal="left" vertical="center"/>
    </xf>
    <xf numFmtId="0" fontId="17" fillId="4" borderId="0" xfId="0" applyFont="1" applyFill="1" applyBorder="1" applyAlignment="1" applyProtection="1">
      <alignment vertical="center"/>
    </xf>
    <xf numFmtId="0" fontId="19" fillId="4" borderId="4" xfId="0" applyFont="1" applyFill="1" applyBorder="1" applyAlignment="1" applyProtection="1">
      <alignment horizontal="center" vertical="center" wrapText="1"/>
    </xf>
    <xf numFmtId="0" fontId="17" fillId="4" borderId="4" xfId="0" applyFont="1" applyFill="1" applyBorder="1" applyAlignment="1" applyProtection="1">
      <alignment vertical="center"/>
    </xf>
    <xf numFmtId="0" fontId="37" fillId="4" borderId="0" xfId="0" applyFont="1" applyFill="1" applyProtection="1">
      <protection locked="0"/>
    </xf>
    <xf numFmtId="2" fontId="17" fillId="2" borderId="1" xfId="1" applyNumberFormat="1" applyFont="1" applyFill="1" applyBorder="1" applyAlignment="1">
      <alignment horizontal="center" vertical="center" wrapText="1"/>
    </xf>
    <xf numFmtId="2" fontId="0" fillId="0" borderId="1" xfId="0" applyNumberFormat="1" applyBorder="1"/>
    <xf numFmtId="0" fontId="0" fillId="0" borderId="14" xfId="0" applyBorder="1" applyProtection="1"/>
    <xf numFmtId="0" fontId="0" fillId="0" borderId="15" xfId="0" applyBorder="1" applyProtection="1"/>
    <xf numFmtId="0" fontId="0" fillId="0" borderId="8" xfId="0" applyBorder="1" applyProtection="1"/>
    <xf numFmtId="0" fontId="23" fillId="2" borderId="11" xfId="0" applyFont="1" applyFill="1" applyBorder="1" applyAlignment="1" applyProtection="1">
      <alignment horizontal="center"/>
    </xf>
    <xf numFmtId="0" fontId="19" fillId="0" borderId="1" xfId="0" applyFont="1" applyBorder="1"/>
    <xf numFmtId="2" fontId="19" fillId="0" borderId="14" xfId="0" applyNumberFormat="1" applyFont="1" applyBorder="1"/>
    <xf numFmtId="2" fontId="19" fillId="0" borderId="15" xfId="0" applyNumberFormat="1" applyFont="1" applyBorder="1"/>
    <xf numFmtId="2" fontId="19" fillId="0" borderId="16" xfId="0" applyNumberFormat="1" applyFont="1" applyBorder="1"/>
    <xf numFmtId="0" fontId="17" fillId="11" borderId="54" xfId="0" applyFont="1" applyFill="1" applyBorder="1" applyProtection="1"/>
    <xf numFmtId="0" fontId="17" fillId="11" borderId="47" xfId="0" applyFont="1" applyFill="1" applyBorder="1" applyProtection="1"/>
    <xf numFmtId="0" fontId="17" fillId="0" borderId="48" xfId="0" applyFont="1" applyBorder="1"/>
    <xf numFmtId="2" fontId="17" fillId="7" borderId="55" xfId="0" applyNumberFormat="1" applyFont="1" applyFill="1" applyBorder="1" applyProtection="1">
      <protection locked="0"/>
    </xf>
    <xf numFmtId="2" fontId="19" fillId="0" borderId="12" xfId="0" applyNumberFormat="1" applyFont="1" applyBorder="1" applyProtection="1">
      <protection locked="0"/>
    </xf>
    <xf numFmtId="2" fontId="19" fillId="0" borderId="13" xfId="0" applyNumberFormat="1" applyFont="1" applyBorder="1" applyProtection="1">
      <protection locked="0"/>
    </xf>
    <xf numFmtId="10" fontId="19" fillId="0" borderId="1" xfId="0" applyNumberFormat="1" applyFont="1" applyBorder="1"/>
    <xf numFmtId="0" fontId="0" fillId="0" borderId="0" xfId="0"/>
    <xf numFmtId="0" fontId="17" fillId="0" borderId="24" xfId="0" applyFont="1" applyBorder="1" applyProtection="1"/>
    <xf numFmtId="0" fontId="17" fillId="0" borderId="17" xfId="0" applyFont="1" applyBorder="1" applyProtection="1"/>
    <xf numFmtId="170" fontId="19" fillId="0" borderId="5" xfId="0" applyNumberFormat="1" applyFont="1" applyBorder="1" applyProtection="1"/>
    <xf numFmtId="170" fontId="19" fillId="0" borderId="7" xfId="0" applyNumberFormat="1" applyFont="1" applyBorder="1" applyAlignment="1" applyProtection="1">
      <alignment horizontal="center" vertical="center"/>
    </xf>
    <xf numFmtId="170" fontId="19" fillId="0" borderId="0" xfId="0" applyNumberFormat="1" applyFont="1" applyBorder="1" applyAlignment="1" applyProtection="1">
      <alignment horizontal="center" vertical="center"/>
    </xf>
    <xf numFmtId="170" fontId="19" fillId="0" borderId="6" xfId="0" applyNumberFormat="1" applyFont="1" applyBorder="1" applyAlignment="1" applyProtection="1">
      <alignment horizontal="center" vertical="center"/>
    </xf>
    <xf numFmtId="10" fontId="19" fillId="0" borderId="0" xfId="0" applyNumberFormat="1" applyFont="1" applyProtection="1"/>
    <xf numFmtId="10" fontId="32" fillId="4" borderId="0" xfId="0" applyNumberFormat="1" applyFont="1" applyFill="1" applyProtection="1"/>
    <xf numFmtId="165" fontId="37" fillId="0" borderId="0" xfId="0" applyNumberFormat="1" applyFont="1" applyProtection="1"/>
    <xf numFmtId="0" fontId="37" fillId="0" borderId="0" xfId="0" applyFont="1" applyProtection="1"/>
    <xf numFmtId="0" fontId="0" fillId="0" borderId="10" xfId="0" applyBorder="1"/>
    <xf numFmtId="0" fontId="0" fillId="0" borderId="47" xfId="0" applyBorder="1"/>
    <xf numFmtId="0" fontId="0" fillId="0" borderId="48" xfId="0" applyBorder="1"/>
    <xf numFmtId="0" fontId="0" fillId="0" borderId="2" xfId="0" applyBorder="1" applyAlignment="1">
      <alignment horizontal="right"/>
    </xf>
    <xf numFmtId="0" fontId="17" fillId="11" borderId="14" xfId="0" applyFont="1" applyFill="1" applyBorder="1" applyProtection="1"/>
    <xf numFmtId="2" fontId="17" fillId="11" borderId="57" xfId="0" applyNumberFormat="1" applyFont="1" applyFill="1" applyBorder="1" applyProtection="1">
      <protection locked="0"/>
    </xf>
    <xf numFmtId="2" fontId="17" fillId="11" borderId="58" xfId="0" applyNumberFormat="1" applyFont="1" applyFill="1" applyBorder="1" applyProtection="1">
      <protection locked="0"/>
    </xf>
    <xf numFmtId="2" fontId="17" fillId="7" borderId="58" xfId="0" applyNumberFormat="1" applyFont="1" applyFill="1" applyBorder="1" applyProtection="1">
      <protection locked="0"/>
    </xf>
    <xf numFmtId="2" fontId="17" fillId="7" borderId="59" xfId="0" applyNumberFormat="1" applyFont="1" applyFill="1" applyBorder="1" applyProtection="1">
      <protection locked="0"/>
    </xf>
    <xf numFmtId="2" fontId="17" fillId="11" borderId="35" xfId="0" applyNumberFormat="1" applyFont="1" applyFill="1" applyBorder="1" applyProtection="1">
      <protection locked="0"/>
    </xf>
    <xf numFmtId="2" fontId="17" fillId="11" borderId="36" xfId="0" applyNumberFormat="1" applyFont="1" applyFill="1" applyBorder="1" applyProtection="1">
      <protection locked="0"/>
    </xf>
    <xf numFmtId="2" fontId="17" fillId="7" borderId="36" xfId="0" applyNumberFormat="1" applyFont="1" applyFill="1" applyBorder="1" applyProtection="1">
      <protection locked="0"/>
    </xf>
    <xf numFmtId="0" fontId="17" fillId="0" borderId="48" xfId="0" applyFont="1" applyFill="1" applyBorder="1"/>
    <xf numFmtId="2" fontId="17" fillId="7" borderId="60" xfId="0" applyNumberFormat="1" applyFont="1" applyFill="1" applyBorder="1" applyProtection="1">
      <protection locked="0"/>
    </xf>
    <xf numFmtId="2" fontId="0" fillId="0" borderId="8" xfId="0" applyNumberFormat="1" applyBorder="1"/>
    <xf numFmtId="0" fontId="19" fillId="0" borderId="48" xfId="0" applyFont="1" applyFill="1" applyBorder="1" applyAlignment="1">
      <alignment horizontal="right"/>
    </xf>
    <xf numFmtId="2" fontId="19" fillId="0" borderId="1" xfId="0" applyNumberFormat="1" applyFont="1" applyBorder="1"/>
    <xf numFmtId="164" fontId="19" fillId="0" borderId="0" xfId="0" applyNumberFormat="1" applyFont="1"/>
    <xf numFmtId="164" fontId="19" fillId="0" borderId="1" xfId="0" applyNumberFormat="1" applyFont="1" applyBorder="1"/>
    <xf numFmtId="0" fontId="39" fillId="0" borderId="0" xfId="0" applyFont="1"/>
    <xf numFmtId="164" fontId="19" fillId="9" borderId="1" xfId="0" applyNumberFormat="1" applyFont="1" applyFill="1" applyBorder="1"/>
    <xf numFmtId="0" fontId="17" fillId="0" borderId="3" xfId="0" applyFont="1" applyBorder="1"/>
    <xf numFmtId="0" fontId="17" fillId="0" borderId="12" xfId="0" applyFont="1" applyBorder="1"/>
    <xf numFmtId="0" fontId="19" fillId="6" borderId="0" xfId="0" applyFont="1" applyFill="1" applyAlignment="1">
      <alignment horizontal="center"/>
    </xf>
    <xf numFmtId="0" fontId="19" fillId="13" borderId="47" xfId="0" applyFont="1" applyFill="1" applyBorder="1" applyProtection="1"/>
    <xf numFmtId="0" fontId="19" fillId="13" borderId="48" xfId="0" applyFont="1" applyFill="1" applyBorder="1" applyProtection="1"/>
    <xf numFmtId="0" fontId="19" fillId="13" borderId="2" xfId="0" applyFont="1" applyFill="1" applyBorder="1" applyProtection="1"/>
    <xf numFmtId="1" fontId="19" fillId="4" borderId="1" xfId="0" applyNumberFormat="1" applyFont="1" applyFill="1" applyBorder="1"/>
    <xf numFmtId="0" fontId="37" fillId="0" borderId="0" xfId="0" applyFont="1"/>
    <xf numFmtId="0" fontId="17" fillId="11" borderId="62" xfId="0" applyFont="1" applyFill="1" applyBorder="1" applyProtection="1"/>
    <xf numFmtId="0" fontId="0" fillId="0" borderId="48" xfId="0" applyBorder="1" applyAlignment="1">
      <alignment horizontal="right"/>
    </xf>
    <xf numFmtId="0" fontId="17" fillId="0" borderId="1" xfId="0" applyFont="1" applyFill="1" applyBorder="1"/>
    <xf numFmtId="9" fontId="19" fillId="13" borderId="36" xfId="0" applyNumberFormat="1" applyFont="1" applyFill="1" applyBorder="1" applyProtection="1">
      <protection locked="0"/>
    </xf>
    <xf numFmtId="9" fontId="19" fillId="14" borderId="36" xfId="0" applyNumberFormat="1" applyFont="1" applyFill="1" applyBorder="1" applyProtection="1">
      <protection locked="0"/>
    </xf>
    <xf numFmtId="9" fontId="19" fillId="14" borderId="60" xfId="0" applyNumberFormat="1" applyFont="1" applyFill="1" applyBorder="1" applyProtection="1">
      <protection locked="0"/>
    </xf>
    <xf numFmtId="2" fontId="0" fillId="0" borderId="11" xfId="0" applyNumberFormat="1" applyBorder="1"/>
    <xf numFmtId="2" fontId="0" fillId="0" borderId="13" xfId="0" applyNumberFormat="1" applyBorder="1"/>
    <xf numFmtId="0" fontId="0" fillId="0" borderId="11" xfId="0" applyFont="1" applyBorder="1"/>
    <xf numFmtId="2" fontId="0" fillId="0" borderId="8" xfId="0" applyNumberFormat="1" applyFont="1" applyBorder="1"/>
    <xf numFmtId="2" fontId="0" fillId="0" borderId="13" xfId="0" applyNumberFormat="1" applyFont="1" applyBorder="1"/>
    <xf numFmtId="9" fontId="19" fillId="13" borderId="35" xfId="0" applyNumberFormat="1" applyFont="1" applyFill="1" applyBorder="1" applyProtection="1">
      <protection locked="0"/>
    </xf>
    <xf numFmtId="9" fontId="0" fillId="0" borderId="3" xfId="0" applyNumberFormat="1" applyBorder="1"/>
    <xf numFmtId="9" fontId="0" fillId="0" borderId="0" xfId="0" applyNumberFormat="1" applyBorder="1"/>
    <xf numFmtId="165" fontId="19" fillId="0" borderId="3" xfId="0" applyNumberFormat="1" applyFont="1" applyBorder="1"/>
    <xf numFmtId="165" fontId="19" fillId="0" borderId="0" xfId="0" applyNumberFormat="1" applyFont="1" applyBorder="1"/>
    <xf numFmtId="165" fontId="19" fillId="0" borderId="14" xfId="0" applyNumberFormat="1" applyFont="1" applyBorder="1"/>
    <xf numFmtId="0" fontId="19" fillId="0" borderId="14" xfId="0" applyFont="1" applyBorder="1" applyAlignment="1">
      <alignment horizontal="right"/>
    </xf>
    <xf numFmtId="2" fontId="17" fillId="11" borderId="63" xfId="0" applyNumberFormat="1" applyFont="1" applyFill="1" applyBorder="1" applyProtection="1">
      <protection locked="0"/>
    </xf>
    <xf numFmtId="2" fontId="17" fillId="11" borderId="64" xfId="0" applyNumberFormat="1" applyFont="1" applyFill="1" applyBorder="1" applyProtection="1">
      <protection locked="0"/>
    </xf>
    <xf numFmtId="2" fontId="17" fillId="7" borderId="64" xfId="0" applyNumberFormat="1" applyFont="1" applyFill="1" applyBorder="1" applyProtection="1">
      <protection locked="0"/>
    </xf>
    <xf numFmtId="171" fontId="17" fillId="11" borderId="52" xfId="0" applyNumberFormat="1" applyFont="1" applyFill="1" applyBorder="1" applyProtection="1">
      <protection locked="0"/>
    </xf>
    <xf numFmtId="171" fontId="17" fillId="11" borderId="53" xfId="0" applyNumberFormat="1" applyFont="1" applyFill="1" applyBorder="1" applyProtection="1">
      <protection locked="0"/>
    </xf>
    <xf numFmtId="171" fontId="17" fillId="7" borderId="53" xfId="0" applyNumberFormat="1" applyFont="1" applyFill="1" applyBorder="1" applyProtection="1">
      <protection locked="0"/>
    </xf>
    <xf numFmtId="165" fontId="19" fillId="0" borderId="15" xfId="0" applyNumberFormat="1" applyFont="1" applyBorder="1"/>
    <xf numFmtId="0" fontId="13" fillId="0" borderId="48" xfId="0" applyFont="1" applyBorder="1"/>
    <xf numFmtId="2" fontId="17" fillId="4" borderId="16" xfId="0" applyNumberFormat="1" applyFont="1" applyFill="1" applyBorder="1"/>
    <xf numFmtId="10" fontId="17" fillId="0" borderId="16" xfId="0" applyNumberFormat="1" applyFont="1" applyBorder="1"/>
    <xf numFmtId="2" fontId="17" fillId="7" borderId="65" xfId="0" applyNumberFormat="1" applyFont="1" applyFill="1" applyBorder="1" applyProtection="1">
      <protection locked="0"/>
    </xf>
    <xf numFmtId="171" fontId="17" fillId="7" borderId="61" xfId="0" applyNumberFormat="1" applyFont="1" applyFill="1" applyBorder="1" applyProtection="1">
      <protection locked="0"/>
    </xf>
    <xf numFmtId="0" fontId="19" fillId="0" borderId="11" xfId="0" applyFont="1" applyBorder="1"/>
    <xf numFmtId="2" fontId="19" fillId="4" borderId="3" xfId="0" applyNumberFormat="1" applyFont="1" applyFill="1" applyBorder="1" applyProtection="1">
      <protection locked="0"/>
    </xf>
    <xf numFmtId="2" fontId="19" fillId="4" borderId="8" xfId="0" applyNumberFormat="1" applyFont="1" applyFill="1" applyBorder="1" applyProtection="1">
      <protection locked="0"/>
    </xf>
    <xf numFmtId="1" fontId="19" fillId="0" borderId="1" xfId="0" applyNumberFormat="1" applyFont="1" applyBorder="1"/>
    <xf numFmtId="10" fontId="17" fillId="0" borderId="1" xfId="0" applyNumberFormat="1" applyFont="1" applyBorder="1"/>
    <xf numFmtId="10" fontId="17" fillId="8" borderId="16" xfId="0" applyNumberFormat="1" applyFont="1" applyFill="1" applyBorder="1" applyProtection="1">
      <protection locked="0"/>
    </xf>
    <xf numFmtId="10" fontId="17" fillId="7" borderId="16" xfId="0" applyNumberFormat="1" applyFont="1" applyFill="1" applyBorder="1" applyProtection="1">
      <protection locked="0"/>
    </xf>
    <xf numFmtId="165" fontId="17" fillId="7" borderId="1" xfId="0" applyNumberFormat="1" applyFont="1" applyFill="1" applyBorder="1" applyProtection="1">
      <protection locked="0"/>
    </xf>
    <xf numFmtId="0" fontId="19" fillId="8" borderId="47" xfId="0" applyFont="1" applyFill="1" applyBorder="1" applyProtection="1">
      <protection locked="0"/>
    </xf>
    <xf numFmtId="10" fontId="19" fillId="8" borderId="48" xfId="0" applyNumberFormat="1" applyFont="1" applyFill="1" applyBorder="1" applyProtection="1">
      <protection locked="0"/>
    </xf>
    <xf numFmtId="9" fontId="19" fillId="8" borderId="48" xfId="0" applyNumberFormat="1" applyFont="1" applyFill="1" applyBorder="1" applyProtection="1">
      <protection locked="0"/>
    </xf>
    <xf numFmtId="0" fontId="19" fillId="8" borderId="48" xfId="0" applyFont="1" applyFill="1" applyBorder="1" applyProtection="1">
      <protection locked="0"/>
    </xf>
    <xf numFmtId="0" fontId="19" fillId="8" borderId="1" xfId="0" applyFont="1" applyFill="1" applyBorder="1" applyProtection="1">
      <protection locked="0"/>
    </xf>
    <xf numFmtId="9" fontId="19" fillId="12" borderId="47" xfId="0" applyNumberFormat="1" applyFont="1" applyFill="1" applyBorder="1" applyProtection="1">
      <protection locked="0"/>
    </xf>
    <xf numFmtId="9" fontId="19" fillId="12" borderId="2" xfId="0" applyNumberFormat="1" applyFont="1" applyFill="1" applyBorder="1" applyProtection="1">
      <protection locked="0"/>
    </xf>
    <xf numFmtId="0" fontId="17" fillId="0" borderId="8" xfId="0" applyFont="1" applyBorder="1"/>
    <xf numFmtId="0" fontId="0" fillId="0" borderId="8" xfId="0" applyBorder="1"/>
    <xf numFmtId="0" fontId="13" fillId="0" borderId="8" xfId="0" applyFont="1" applyBorder="1"/>
    <xf numFmtId="0" fontId="19" fillId="0" borderId="13" xfId="0" applyFont="1" applyBorder="1"/>
    <xf numFmtId="2" fontId="19" fillId="0" borderId="3" xfId="0" applyNumberFormat="1" applyFont="1" applyBorder="1" applyProtection="1">
      <protection locked="0"/>
    </xf>
    <xf numFmtId="2" fontId="19" fillId="0" borderId="8" xfId="0" applyNumberFormat="1" applyFont="1" applyBorder="1" applyProtection="1">
      <protection locked="0"/>
    </xf>
    <xf numFmtId="10" fontId="19" fillId="0" borderId="3" xfId="0" applyNumberFormat="1" applyFont="1" applyBorder="1" applyProtection="1">
      <protection locked="0"/>
    </xf>
    <xf numFmtId="10" fontId="19" fillId="0" borderId="8" xfId="0" applyNumberFormat="1" applyFont="1" applyBorder="1" applyProtection="1">
      <protection locked="0"/>
    </xf>
    <xf numFmtId="0" fontId="19" fillId="0" borderId="3" xfId="0" applyFont="1" applyBorder="1" applyProtection="1">
      <protection locked="0"/>
    </xf>
    <xf numFmtId="0" fontId="19" fillId="0" borderId="8" xfId="0" applyFont="1" applyBorder="1" applyProtection="1">
      <protection locked="0"/>
    </xf>
    <xf numFmtId="10" fontId="19" fillId="0" borderId="12" xfId="0" applyNumberFormat="1" applyFont="1" applyBorder="1" applyProtection="1">
      <protection locked="0"/>
    </xf>
    <xf numFmtId="10" fontId="19" fillId="0" borderId="13" xfId="0" applyNumberFormat="1" applyFont="1" applyBorder="1" applyProtection="1">
      <protection locked="0"/>
    </xf>
    <xf numFmtId="165" fontId="19" fillId="0" borderId="3" xfId="0" applyNumberFormat="1" applyFont="1" applyBorder="1" applyProtection="1">
      <protection locked="0"/>
    </xf>
    <xf numFmtId="165" fontId="19" fillId="0" borderId="8" xfId="0" applyNumberFormat="1" applyFont="1" applyBorder="1" applyProtection="1">
      <protection locked="0"/>
    </xf>
    <xf numFmtId="0" fontId="13" fillId="4" borderId="47" xfId="0" applyFont="1" applyFill="1" applyBorder="1" applyAlignment="1" applyProtection="1">
      <alignment horizontal="center"/>
    </xf>
    <xf numFmtId="0" fontId="13" fillId="4" borderId="48" xfId="0" applyFont="1" applyFill="1" applyBorder="1" applyAlignment="1" applyProtection="1">
      <alignment horizontal="center"/>
    </xf>
    <xf numFmtId="0" fontId="13" fillId="4" borderId="2" xfId="0" applyFont="1" applyFill="1" applyBorder="1" applyAlignment="1" applyProtection="1">
      <alignment horizontal="center"/>
    </xf>
    <xf numFmtId="10" fontId="0" fillId="0" borderId="1" xfId="0" applyNumberFormat="1" applyFont="1" applyBorder="1"/>
    <xf numFmtId="0" fontId="24" fillId="0" borderId="0" xfId="0" applyFont="1" applyProtection="1"/>
    <xf numFmtId="170" fontId="19" fillId="4" borderId="20" xfId="0" applyNumberFormat="1" applyFont="1" applyFill="1" applyBorder="1" applyAlignment="1" applyProtection="1">
      <alignment horizontal="center" vertical="center" wrapText="1"/>
    </xf>
    <xf numFmtId="10" fontId="32" fillId="0" borderId="0" xfId="0" applyNumberFormat="1" applyFont="1" applyProtection="1"/>
    <xf numFmtId="2" fontId="0" fillId="0" borderId="16" xfId="0" applyNumberFormat="1" applyBorder="1"/>
    <xf numFmtId="10" fontId="0" fillId="0" borderId="16" xfId="0" applyNumberFormat="1" applyBorder="1"/>
    <xf numFmtId="0" fontId="19" fillId="4" borderId="51" xfId="0" applyFont="1" applyFill="1" applyBorder="1" applyAlignment="1" applyProtection="1">
      <alignment vertical="center"/>
    </xf>
    <xf numFmtId="0" fontId="17" fillId="4" borderId="51" xfId="0" applyFont="1" applyFill="1" applyBorder="1" applyAlignment="1" applyProtection="1">
      <alignment vertical="center"/>
    </xf>
    <xf numFmtId="0" fontId="17" fillId="4" borderId="75" xfId="0" applyFont="1" applyFill="1" applyBorder="1" applyAlignment="1" applyProtection="1">
      <alignment vertical="center"/>
    </xf>
    <xf numFmtId="9" fontId="19" fillId="4" borderId="0" xfId="0" applyNumberFormat="1" applyFont="1" applyFill="1" applyBorder="1" applyAlignment="1" applyProtection="1">
      <alignment horizontal="center" vertical="center" wrapText="1"/>
    </xf>
    <xf numFmtId="9" fontId="19" fillId="4" borderId="0" xfId="0" applyNumberFormat="1" applyFont="1" applyFill="1" applyBorder="1" applyAlignment="1" applyProtection="1">
      <alignment horizontal="center" vertical="center"/>
    </xf>
    <xf numFmtId="9" fontId="19" fillId="4" borderId="4" xfId="0" applyNumberFormat="1" applyFont="1" applyFill="1" applyBorder="1" applyAlignment="1" applyProtection="1">
      <alignment horizontal="center" vertical="center"/>
    </xf>
    <xf numFmtId="170" fontId="19" fillId="4" borderId="3" xfId="0" applyNumberFormat="1" applyFont="1" applyFill="1" applyBorder="1" applyAlignment="1" applyProtection="1">
      <alignment horizontal="center" vertical="center" wrapText="1"/>
    </xf>
    <xf numFmtId="0" fontId="37" fillId="0" borderId="0" xfId="0" applyFont="1" applyProtection="1">
      <protection locked="0"/>
    </xf>
    <xf numFmtId="0" fontId="37" fillId="4" borderId="0" xfId="0" applyFont="1" applyFill="1" applyProtection="1"/>
    <xf numFmtId="0" fontId="29" fillId="4" borderId="0" xfId="0" applyFont="1" applyFill="1" applyBorder="1" applyAlignment="1" applyProtection="1">
      <alignment horizontal="center"/>
    </xf>
    <xf numFmtId="0" fontId="19" fillId="4" borderId="47" xfId="0" applyFont="1" applyFill="1" applyBorder="1" applyAlignment="1" applyProtection="1">
      <alignment horizontal="left" vertical="center"/>
    </xf>
    <xf numFmtId="0" fontId="0" fillId="0" borderId="48" xfId="0" applyBorder="1" applyProtection="1"/>
    <xf numFmtId="0" fontId="19" fillId="4" borderId="48" xfId="0" applyFont="1" applyFill="1" applyBorder="1" applyAlignment="1" applyProtection="1">
      <alignment horizontal="left" vertical="center"/>
    </xf>
    <xf numFmtId="2" fontId="19" fillId="4" borderId="12" xfId="0" applyNumberFormat="1" applyFont="1" applyFill="1" applyBorder="1" applyAlignment="1" applyProtection="1">
      <alignment horizontal="center" vertical="center" wrapText="1"/>
    </xf>
    <xf numFmtId="0" fontId="38" fillId="4" borderId="0" xfId="0" applyFont="1" applyFill="1" applyBorder="1" applyAlignment="1" applyProtection="1">
      <alignment horizontal="center"/>
      <protection locked="0"/>
    </xf>
    <xf numFmtId="0" fontId="17" fillId="0" borderId="9" xfId="0" applyFont="1" applyBorder="1" applyProtection="1"/>
    <xf numFmtId="0" fontId="17" fillId="0" borderId="10" xfId="0" applyFont="1" applyBorder="1" applyProtection="1"/>
    <xf numFmtId="9" fontId="19" fillId="0" borderId="11" xfId="0" applyNumberFormat="1" applyFont="1" applyBorder="1" applyProtection="1"/>
    <xf numFmtId="0" fontId="17" fillId="0" borderId="4" xfId="0" applyFont="1" applyBorder="1" applyProtection="1"/>
    <xf numFmtId="9" fontId="19" fillId="0" borderId="13" xfId="0" applyNumberFormat="1" applyFont="1" applyBorder="1" applyProtection="1"/>
    <xf numFmtId="9" fontId="19" fillId="4" borderId="3" xfId="0" applyNumberFormat="1" applyFont="1" applyFill="1" applyBorder="1" applyAlignment="1" applyProtection="1">
      <alignment horizontal="center" vertical="center" wrapText="1"/>
    </xf>
    <xf numFmtId="9" fontId="19" fillId="4" borderId="3" xfId="0" applyNumberFormat="1" applyFont="1" applyFill="1" applyBorder="1" applyAlignment="1" applyProtection="1">
      <alignment horizontal="center" vertical="center"/>
    </xf>
    <xf numFmtId="9" fontId="19" fillId="4" borderId="12" xfId="0" applyNumberFormat="1" applyFont="1" applyFill="1" applyBorder="1" applyAlignment="1" applyProtection="1">
      <alignment horizontal="center" vertical="center"/>
    </xf>
    <xf numFmtId="9" fontId="19" fillId="4" borderId="0" xfId="1" applyNumberFormat="1" applyFont="1" applyFill="1" applyBorder="1" applyAlignment="1" applyProtection="1">
      <alignment horizontal="center" vertical="center"/>
    </xf>
    <xf numFmtId="0" fontId="17" fillId="4" borderId="9" xfId="0" applyFont="1" applyFill="1" applyBorder="1" applyProtection="1"/>
    <xf numFmtId="0" fontId="17" fillId="4" borderId="11" xfId="0" applyFont="1" applyFill="1" applyBorder="1" applyProtection="1"/>
    <xf numFmtId="2" fontId="19" fillId="0" borderId="25" xfId="0" applyNumberFormat="1" applyFont="1" applyBorder="1" applyProtection="1"/>
    <xf numFmtId="2" fontId="19" fillId="0" borderId="27" xfId="0" applyNumberFormat="1" applyFont="1" applyBorder="1" applyProtection="1"/>
    <xf numFmtId="2" fontId="19" fillId="0" borderId="26" xfId="0" applyNumberFormat="1" applyFont="1" applyBorder="1" applyProtection="1"/>
    <xf numFmtId="164" fontId="19" fillId="4" borderId="9" xfId="0" applyNumberFormat="1" applyFont="1" applyFill="1" applyBorder="1"/>
    <xf numFmtId="164" fontId="19" fillId="4" borderId="10" xfId="0" applyNumberFormat="1" applyFont="1" applyFill="1" applyBorder="1"/>
    <xf numFmtId="164" fontId="19" fillId="4" borderId="11" xfId="0" applyNumberFormat="1" applyFont="1" applyFill="1" applyBorder="1"/>
    <xf numFmtId="164" fontId="19" fillId="4" borderId="3" xfId="0" applyNumberFormat="1" applyFont="1" applyFill="1" applyBorder="1"/>
    <xf numFmtId="164" fontId="19" fillId="4" borderId="8" xfId="0" applyNumberFormat="1" applyFont="1" applyFill="1" applyBorder="1"/>
    <xf numFmtId="10" fontId="19" fillId="4" borderId="12" xfId="0" applyNumberFormat="1" applyFont="1" applyFill="1" applyBorder="1"/>
    <xf numFmtId="10" fontId="19" fillId="4" borderId="4" xfId="0" applyNumberFormat="1" applyFont="1" applyFill="1" applyBorder="1"/>
    <xf numFmtId="10" fontId="19" fillId="4" borderId="13" xfId="0" applyNumberFormat="1" applyFont="1" applyFill="1" applyBorder="1"/>
    <xf numFmtId="0" fontId="0" fillId="0" borderId="11" xfId="0" applyBorder="1"/>
    <xf numFmtId="0" fontId="19" fillId="4" borderId="3" xfId="0" applyFont="1" applyFill="1" applyBorder="1" applyAlignment="1" applyProtection="1">
      <alignment horizontal="left"/>
    </xf>
    <xf numFmtId="0" fontId="13" fillId="0" borderId="0" xfId="0" applyFont="1" applyAlignment="1" applyProtection="1"/>
    <xf numFmtId="0" fontId="0" fillId="0" borderId="0" xfId="0"/>
    <xf numFmtId="0" fontId="0" fillId="4" borderId="0" xfId="0" applyFill="1" applyBorder="1" applyAlignment="1" applyProtection="1">
      <alignment horizontal="left" wrapText="1"/>
    </xf>
    <xf numFmtId="164" fontId="0" fillId="4" borderId="0" xfId="0" applyNumberFormat="1" applyFill="1" applyBorder="1" applyAlignment="1" applyProtection="1">
      <alignment horizontal="center" wrapText="1"/>
    </xf>
    <xf numFmtId="0" fontId="11" fillId="4" borderId="0" xfId="0" applyFont="1" applyFill="1" applyBorder="1" applyAlignment="1" applyProtection="1">
      <alignment horizontal="left" vertical="center"/>
    </xf>
    <xf numFmtId="1" fontId="0" fillId="0" borderId="0" xfId="0" applyNumberFormat="1" applyBorder="1" applyProtection="1"/>
    <xf numFmtId="10" fontId="0" fillId="0" borderId="84" xfId="0" applyNumberFormat="1" applyBorder="1" applyProtection="1"/>
    <xf numFmtId="10" fontId="0" fillId="0" borderId="85" xfId="0" applyNumberFormat="1" applyBorder="1" applyProtection="1"/>
    <xf numFmtId="10" fontId="0" fillId="0" borderId="86" xfId="0" applyNumberFormat="1" applyBorder="1" applyProtection="1"/>
    <xf numFmtId="10" fontId="0" fillId="0" borderId="87" xfId="0" applyNumberFormat="1" applyBorder="1" applyProtection="1"/>
    <xf numFmtId="1" fontId="0" fillId="0" borderId="84" xfId="0" applyNumberFormat="1" applyBorder="1" applyProtection="1"/>
    <xf numFmtId="1" fontId="0" fillId="0" borderId="85" xfId="0" applyNumberFormat="1" applyBorder="1" applyProtection="1"/>
    <xf numFmtId="1" fontId="0" fillId="0" borderId="86" xfId="0" applyNumberFormat="1" applyBorder="1" applyProtection="1"/>
    <xf numFmtId="1" fontId="0" fillId="0" borderId="87" xfId="0" applyNumberFormat="1" applyBorder="1" applyProtection="1"/>
    <xf numFmtId="0" fontId="18" fillId="0" borderId="3" xfId="0" applyFont="1" applyBorder="1" applyAlignment="1">
      <alignment horizontal="right"/>
    </xf>
    <xf numFmtId="10" fontId="10" fillId="0" borderId="3" xfId="0" applyNumberFormat="1" applyFont="1" applyBorder="1"/>
    <xf numFmtId="0" fontId="18" fillId="0" borderId="20" xfId="0" applyFont="1" applyBorder="1" applyAlignment="1">
      <alignment horizontal="right"/>
    </xf>
    <xf numFmtId="9" fontId="10" fillId="0" borderId="20" xfId="0" applyNumberFormat="1" applyFont="1" applyBorder="1" applyAlignment="1">
      <alignment horizontal="center"/>
    </xf>
    <xf numFmtId="9" fontId="10" fillId="0" borderId="5" xfId="0" applyNumberFormat="1" applyFont="1" applyBorder="1" applyAlignment="1">
      <alignment horizontal="center"/>
    </xf>
    <xf numFmtId="9" fontId="10" fillId="0" borderId="38" xfId="0" applyNumberFormat="1" applyFont="1" applyBorder="1" applyAlignment="1">
      <alignment horizontal="center"/>
    </xf>
    <xf numFmtId="9" fontId="10" fillId="0" borderId="37" xfId="0" applyNumberFormat="1" applyFont="1" applyBorder="1" applyAlignment="1">
      <alignment horizontal="center"/>
    </xf>
    <xf numFmtId="0" fontId="10" fillId="0" borderId="20" xfId="0" applyFont="1" applyBorder="1"/>
    <xf numFmtId="0" fontId="10" fillId="0" borderId="3" xfId="0" applyFont="1" applyBorder="1"/>
    <xf numFmtId="0" fontId="10" fillId="0" borderId="3" xfId="0" applyFont="1" applyBorder="1" applyAlignment="1">
      <alignment horizontal="right"/>
    </xf>
    <xf numFmtId="9" fontId="10" fillId="0" borderId="3" xfId="0" applyNumberFormat="1" applyFont="1" applyBorder="1" applyAlignment="1">
      <alignment horizontal="center"/>
    </xf>
    <xf numFmtId="0" fontId="30" fillId="0" borderId="3" xfId="0" applyFont="1" applyBorder="1" applyAlignment="1">
      <alignment horizontal="right"/>
    </xf>
    <xf numFmtId="9" fontId="0" fillId="0" borderId="9" xfId="0" applyNumberFormat="1" applyBorder="1" applyAlignment="1">
      <alignment horizontal="center"/>
    </xf>
    <xf numFmtId="9" fontId="0" fillId="0" borderId="10" xfId="0" applyNumberFormat="1" applyBorder="1" applyAlignment="1">
      <alignment horizontal="center"/>
    </xf>
    <xf numFmtId="0" fontId="17" fillId="4" borderId="14" xfId="0" applyFont="1" applyFill="1" applyBorder="1" applyAlignment="1" applyProtection="1">
      <alignment horizontal="left" vertical="center"/>
    </xf>
    <xf numFmtId="1" fontId="17" fillId="4" borderId="3" xfId="0" applyNumberFormat="1" applyFont="1" applyFill="1" applyBorder="1" applyAlignment="1" applyProtection="1">
      <alignment horizontal="center" vertical="center" wrapText="1"/>
    </xf>
    <xf numFmtId="1" fontId="17" fillId="4" borderId="0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Protection="1"/>
    <xf numFmtId="10" fontId="0" fillId="0" borderId="0" xfId="1" applyNumberFormat="1" applyFont="1" applyProtection="1"/>
    <xf numFmtId="9" fontId="0" fillId="4" borderId="0" xfId="1" applyFont="1" applyFill="1" applyBorder="1" applyAlignment="1" applyProtection="1">
      <alignment horizontal="center" wrapText="1"/>
    </xf>
    <xf numFmtId="0" fontId="0" fillId="0" borderId="0" xfId="0"/>
    <xf numFmtId="0" fontId="0" fillId="0" borderId="1" xfId="0" applyBorder="1" applyProtection="1"/>
    <xf numFmtId="0" fontId="13" fillId="0" borderId="14" xfId="0" applyFont="1" applyBorder="1" applyProtection="1"/>
    <xf numFmtId="9" fontId="17" fillId="17" borderId="1" xfId="0" applyNumberFormat="1" applyFont="1" applyFill="1" applyBorder="1" applyAlignment="1" applyProtection="1">
      <alignment horizontal="center"/>
      <protection locked="0"/>
    </xf>
    <xf numFmtId="0" fontId="23" fillId="17" borderId="26" xfId="0" applyFont="1" applyFill="1" applyBorder="1" applyAlignment="1" applyProtection="1">
      <alignment horizontal="center"/>
    </xf>
    <xf numFmtId="0" fontId="23" fillId="10" borderId="14" xfId="0" applyFont="1" applyFill="1" applyBorder="1" applyAlignment="1" applyProtection="1">
      <alignment horizontal="center"/>
    </xf>
    <xf numFmtId="0" fontId="23" fillId="10" borderId="15" xfId="0" applyFont="1" applyFill="1" applyBorder="1" applyAlignment="1" applyProtection="1">
      <alignment horizontal="center"/>
    </xf>
    <xf numFmtId="0" fontId="17" fillId="18" borderId="9" xfId="0" applyFont="1" applyFill="1" applyBorder="1"/>
    <xf numFmtId="0" fontId="17" fillId="18" borderId="49" xfId="0" applyFont="1" applyFill="1" applyBorder="1" applyProtection="1">
      <protection locked="0"/>
    </xf>
    <xf numFmtId="0" fontId="17" fillId="18" borderId="50" xfId="0" applyFont="1" applyFill="1" applyBorder="1" applyProtection="1">
      <protection locked="0"/>
    </xf>
    <xf numFmtId="0" fontId="10" fillId="0" borderId="3" xfId="0" applyFont="1" applyFill="1" applyBorder="1"/>
    <xf numFmtId="0" fontId="17" fillId="18" borderId="9" xfId="0" applyFont="1" applyFill="1" applyBorder="1" applyAlignment="1">
      <alignment horizontal="left"/>
    </xf>
    <xf numFmtId="173" fontId="17" fillId="18" borderId="9" xfId="0" applyNumberFormat="1" applyFont="1" applyFill="1" applyBorder="1" applyProtection="1">
      <protection locked="0"/>
    </xf>
    <xf numFmtId="173" fontId="17" fillId="18" borderId="10" xfId="0" applyNumberFormat="1" applyFont="1" applyFill="1" applyBorder="1" applyProtection="1">
      <protection locked="0"/>
    </xf>
    <xf numFmtId="0" fontId="17" fillId="0" borderId="21" xfId="0" applyFont="1" applyFill="1" applyBorder="1"/>
    <xf numFmtId="171" fontId="17" fillId="0" borderId="33" xfId="0" applyNumberFormat="1" applyFont="1" applyFill="1" applyBorder="1" applyProtection="1">
      <protection locked="0"/>
    </xf>
    <xf numFmtId="171" fontId="17" fillId="0" borderId="34" xfId="0" applyNumberFormat="1" applyFont="1" applyFill="1" applyBorder="1" applyProtection="1">
      <protection locked="0"/>
    </xf>
    <xf numFmtId="0" fontId="17" fillId="18" borderId="3" xfId="0" applyFont="1" applyFill="1" applyBorder="1"/>
    <xf numFmtId="171" fontId="17" fillId="18" borderId="33" xfId="0" applyNumberFormat="1" applyFont="1" applyFill="1" applyBorder="1" applyProtection="1">
      <protection locked="0"/>
    </xf>
    <xf numFmtId="171" fontId="17" fillId="18" borderId="34" xfId="0" applyNumberFormat="1" applyFont="1" applyFill="1" applyBorder="1" applyProtection="1">
      <protection locked="0"/>
    </xf>
    <xf numFmtId="0" fontId="10" fillId="0" borderId="21" xfId="0" applyFont="1" applyFill="1" applyBorder="1"/>
    <xf numFmtId="171" fontId="10" fillId="0" borderId="3" xfId="0" applyNumberFormat="1" applyFont="1" applyFill="1" applyBorder="1"/>
    <xf numFmtId="0" fontId="23" fillId="10" borderId="12" xfId="0" applyFont="1" applyFill="1" applyBorder="1"/>
    <xf numFmtId="173" fontId="23" fillId="10" borderId="4" xfId="0" applyNumberFormat="1" applyFont="1" applyFill="1" applyBorder="1" applyProtection="1">
      <protection locked="0"/>
    </xf>
    <xf numFmtId="0" fontId="17" fillId="0" borderId="34" xfId="0" applyFont="1" applyFill="1" applyBorder="1" applyProtection="1">
      <protection locked="0"/>
    </xf>
    <xf numFmtId="0" fontId="17" fillId="0" borderId="41" xfId="0" applyFont="1" applyFill="1" applyBorder="1" applyProtection="1">
      <protection locked="0"/>
    </xf>
    <xf numFmtId="0" fontId="17" fillId="0" borderId="39" xfId="0" applyFont="1" applyFill="1" applyBorder="1" applyProtection="1">
      <protection locked="0"/>
    </xf>
    <xf numFmtId="0" fontId="17" fillId="0" borderId="40" xfId="0" applyFont="1" applyFill="1" applyBorder="1" applyProtection="1">
      <protection locked="0"/>
    </xf>
    <xf numFmtId="0" fontId="17" fillId="0" borderId="42" xfId="0" applyFont="1" applyFill="1" applyBorder="1" applyProtection="1">
      <protection locked="0"/>
    </xf>
    <xf numFmtId="0" fontId="13" fillId="10" borderId="30" xfId="0" applyFont="1" applyFill="1" applyBorder="1" applyProtection="1"/>
    <xf numFmtId="0" fontId="17" fillId="10" borderId="43" xfId="0" applyFont="1" applyFill="1" applyBorder="1" applyProtection="1">
      <protection locked="0"/>
    </xf>
    <xf numFmtId="0" fontId="17" fillId="10" borderId="44" xfId="0" applyFont="1" applyFill="1" applyBorder="1" applyProtection="1">
      <protection locked="0"/>
    </xf>
    <xf numFmtId="0" fontId="17" fillId="10" borderId="45" xfId="0" applyFont="1" applyFill="1" applyBorder="1" applyProtection="1">
      <protection locked="0"/>
    </xf>
    <xf numFmtId="0" fontId="17" fillId="10" borderId="46" xfId="0" applyFont="1" applyFill="1" applyBorder="1" applyProtection="1">
      <protection locked="0"/>
    </xf>
    <xf numFmtId="0" fontId="30" fillId="16" borderId="3" xfId="0" applyFont="1" applyFill="1" applyBorder="1" applyAlignment="1">
      <alignment horizontal="right"/>
    </xf>
    <xf numFmtId="2" fontId="0" fillId="16" borderId="20" xfId="0" applyNumberFormat="1" applyFill="1" applyBorder="1" applyAlignment="1">
      <alignment horizontal="center"/>
    </xf>
    <xf numFmtId="2" fontId="0" fillId="16" borderId="5" xfId="0" applyNumberFormat="1" applyFill="1" applyBorder="1" applyAlignment="1">
      <alignment horizontal="center"/>
    </xf>
    <xf numFmtId="0" fontId="23" fillId="17" borderId="18" xfId="0" applyFont="1" applyFill="1" applyBorder="1" applyAlignment="1" applyProtection="1">
      <alignment horizontal="center"/>
    </xf>
    <xf numFmtId="0" fontId="23" fillId="17" borderId="0" xfId="0" applyFont="1" applyFill="1" applyBorder="1" applyAlignment="1" applyProtection="1">
      <alignment horizontal="center"/>
    </xf>
    <xf numFmtId="0" fontId="23" fillId="17" borderId="6" xfId="0" applyFont="1" applyFill="1" applyBorder="1" applyAlignment="1" applyProtection="1">
      <alignment horizontal="center"/>
    </xf>
    <xf numFmtId="0" fontId="17" fillId="0" borderId="49" xfId="0" applyFont="1" applyFill="1" applyBorder="1" applyProtection="1">
      <protection locked="0"/>
    </xf>
    <xf numFmtId="0" fontId="17" fillId="0" borderId="50" xfId="0" applyFont="1" applyFill="1" applyBorder="1" applyProtection="1">
      <protection locked="0"/>
    </xf>
    <xf numFmtId="0" fontId="17" fillId="0" borderId="66" xfId="0" applyFont="1" applyFill="1" applyBorder="1" applyProtection="1">
      <protection locked="0"/>
    </xf>
    <xf numFmtId="0" fontId="17" fillId="0" borderId="35" xfId="0" applyFont="1" applyFill="1" applyBorder="1" applyProtection="1">
      <protection locked="0"/>
    </xf>
    <xf numFmtId="0" fontId="17" fillId="0" borderId="36" xfId="0" applyFont="1" applyFill="1" applyBorder="1" applyProtection="1">
      <protection locked="0"/>
    </xf>
    <xf numFmtId="0" fontId="17" fillId="0" borderId="67" xfId="0" applyFont="1" applyFill="1" applyBorder="1" applyProtection="1">
      <protection locked="0"/>
    </xf>
    <xf numFmtId="0" fontId="17" fillId="0" borderId="76" xfId="0" applyFont="1" applyFill="1" applyBorder="1" applyProtection="1">
      <protection locked="0"/>
    </xf>
    <xf numFmtId="0" fontId="17" fillId="0" borderId="68" xfId="0" applyFont="1" applyFill="1" applyBorder="1" applyProtection="1">
      <protection locked="0"/>
    </xf>
    <xf numFmtId="0" fontId="17" fillId="0" borderId="69" xfId="0" applyFont="1" applyFill="1" applyBorder="1" applyProtection="1">
      <protection locked="0"/>
    </xf>
    <xf numFmtId="0" fontId="23" fillId="16" borderId="10" xfId="0" applyFont="1" applyFill="1" applyBorder="1" applyAlignment="1" applyProtection="1">
      <alignment horizontal="center"/>
    </xf>
    <xf numFmtId="1" fontId="23" fillId="10" borderId="15" xfId="0" applyNumberFormat="1" applyFont="1" applyFill="1" applyBorder="1" applyAlignment="1" applyProtection="1">
      <alignment horizontal="center" vertical="center"/>
    </xf>
    <xf numFmtId="0" fontId="23" fillId="16" borderId="9" xfId="0" applyFont="1" applyFill="1" applyBorder="1" applyAlignment="1" applyProtection="1">
      <alignment horizontal="center"/>
    </xf>
    <xf numFmtId="0" fontId="23" fillId="16" borderId="11" xfId="0" applyFont="1" applyFill="1" applyBorder="1" applyAlignment="1" applyProtection="1">
      <alignment horizontal="center"/>
    </xf>
    <xf numFmtId="0" fontId="19" fillId="15" borderId="3" xfId="0" applyFont="1" applyFill="1" applyBorder="1" applyProtection="1"/>
    <xf numFmtId="0" fontId="19" fillId="15" borderId="0" xfId="0" applyFont="1" applyFill="1" applyBorder="1" applyProtection="1"/>
    <xf numFmtId="170" fontId="19" fillId="0" borderId="70" xfId="0" applyNumberFormat="1" applyFont="1" applyFill="1" applyBorder="1" applyAlignment="1" applyProtection="1">
      <alignment horizontal="center" vertical="center" wrapText="1"/>
      <protection locked="0"/>
    </xf>
    <xf numFmtId="170" fontId="19" fillId="0" borderId="82" xfId="0" applyNumberFormat="1" applyFont="1" applyFill="1" applyBorder="1" applyAlignment="1" applyProtection="1">
      <alignment horizontal="center" vertical="center" wrapText="1"/>
      <protection locked="0"/>
    </xf>
    <xf numFmtId="170" fontId="19" fillId="0" borderId="71" xfId="0" applyNumberFormat="1" applyFont="1" applyFill="1" applyBorder="1" applyAlignment="1" applyProtection="1">
      <alignment horizontal="center" vertical="center" wrapText="1"/>
      <protection locked="0"/>
    </xf>
    <xf numFmtId="170" fontId="19" fillId="0" borderId="72" xfId="0" applyNumberFormat="1" applyFont="1" applyFill="1" applyBorder="1" applyAlignment="1" applyProtection="1">
      <alignment horizontal="center" vertical="center" wrapText="1"/>
      <protection locked="0"/>
    </xf>
    <xf numFmtId="0" fontId="38" fillId="15" borderId="3" xfId="0" applyFont="1" applyFill="1" applyBorder="1" applyAlignment="1" applyProtection="1">
      <alignment horizontal="center"/>
    </xf>
    <xf numFmtId="0" fontId="13" fillId="0" borderId="9" xfId="0" applyFont="1" applyBorder="1" applyProtection="1"/>
    <xf numFmtId="1" fontId="23" fillId="10" borderId="10" xfId="0" applyNumberFormat="1" applyFont="1" applyFill="1" applyBorder="1" applyAlignment="1" applyProtection="1">
      <alignment horizontal="center" vertical="center"/>
    </xf>
    <xf numFmtId="0" fontId="23" fillId="10" borderId="10" xfId="0" applyFont="1" applyFill="1" applyBorder="1" applyAlignment="1" applyProtection="1">
      <alignment horizontal="center"/>
    </xf>
    <xf numFmtId="170" fontId="19" fillId="0" borderId="92" xfId="0" applyNumberFormat="1" applyFont="1" applyFill="1" applyBorder="1" applyAlignment="1" applyProtection="1">
      <alignment horizontal="center" vertical="center" wrapText="1"/>
      <protection locked="0"/>
    </xf>
    <xf numFmtId="0" fontId="38" fillId="15" borderId="14" xfId="0" applyFont="1" applyFill="1" applyBorder="1" applyAlignment="1" applyProtection="1">
      <alignment horizontal="center"/>
    </xf>
    <xf numFmtId="0" fontId="19" fillId="15" borderId="15" xfId="0" applyFont="1" applyFill="1" applyBorder="1" applyProtection="1"/>
    <xf numFmtId="0" fontId="19" fillId="15" borderId="14" xfId="0" applyFont="1" applyFill="1" applyBorder="1" applyProtection="1"/>
    <xf numFmtId="0" fontId="19" fillId="15" borderId="16" xfId="0" applyFont="1" applyFill="1" applyBorder="1" applyProtection="1"/>
    <xf numFmtId="0" fontId="19" fillId="0" borderId="3" xfId="0" applyFont="1" applyBorder="1" applyAlignment="1" applyProtection="1">
      <alignment horizontal="left"/>
    </xf>
    <xf numFmtId="170" fontId="19" fillId="0" borderId="93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56" xfId="0" applyNumberFormat="1" applyFont="1" applyFill="1" applyBorder="1" applyAlignment="1" applyProtection="1">
      <alignment horizontal="center" vertical="center"/>
      <protection locked="0"/>
    </xf>
    <xf numFmtId="2" fontId="23" fillId="4" borderId="3" xfId="0" applyNumberFormat="1" applyFont="1" applyFill="1" applyBorder="1" applyAlignment="1" applyProtection="1">
      <alignment horizontal="left" vertical="center"/>
    </xf>
    <xf numFmtId="0" fontId="0" fillId="0" borderId="9" xfId="0" applyBorder="1"/>
    <xf numFmtId="0" fontId="0" fillId="0" borderId="12" xfId="0" applyBorder="1"/>
    <xf numFmtId="0" fontId="0" fillId="0" borderId="4" xfId="0" applyBorder="1"/>
    <xf numFmtId="0" fontId="17" fillId="0" borderId="14" xfId="0" applyFont="1" applyBorder="1" applyProtection="1"/>
    <xf numFmtId="2" fontId="19" fillId="0" borderId="14" xfId="0" applyNumberFormat="1" applyFont="1" applyBorder="1" applyProtection="1"/>
    <xf numFmtId="2" fontId="19" fillId="0" borderId="15" xfId="0" applyNumberFormat="1" applyFont="1" applyBorder="1" applyProtection="1"/>
    <xf numFmtId="2" fontId="19" fillId="0" borderId="16" xfId="0" applyNumberFormat="1" applyFont="1" applyBorder="1" applyProtection="1"/>
    <xf numFmtId="0" fontId="17" fillId="4" borderId="21" xfId="0" applyFont="1" applyFill="1" applyBorder="1" applyProtection="1"/>
    <xf numFmtId="0" fontId="17" fillId="4" borderId="20" xfId="0" applyFont="1" applyFill="1" applyBorder="1" applyProtection="1"/>
    <xf numFmtId="0" fontId="19" fillId="4" borderId="3" xfId="0" applyFont="1" applyFill="1" applyBorder="1" applyProtection="1"/>
    <xf numFmtId="1" fontId="23" fillId="10" borderId="9" xfId="0" applyNumberFormat="1" applyFont="1" applyFill="1" applyBorder="1" applyAlignment="1" applyProtection="1">
      <alignment horizontal="center" vertical="center"/>
    </xf>
    <xf numFmtId="0" fontId="23" fillId="10" borderId="11" xfId="0" applyFont="1" applyFill="1" applyBorder="1" applyAlignment="1" applyProtection="1">
      <alignment horizontal="center"/>
    </xf>
    <xf numFmtId="170" fontId="19" fillId="0" borderId="94" xfId="0" applyNumberFormat="1" applyFont="1" applyFill="1" applyBorder="1" applyAlignment="1" applyProtection="1">
      <alignment horizontal="center" vertical="center" wrapText="1"/>
      <protection locked="0"/>
    </xf>
    <xf numFmtId="170" fontId="19" fillId="0" borderId="9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99" xfId="0" applyNumberFormat="1" applyFont="1" applyFill="1" applyBorder="1" applyAlignment="1" applyProtection="1">
      <alignment horizontal="center" vertical="center"/>
      <protection locked="0"/>
    </xf>
    <xf numFmtId="171" fontId="17" fillId="0" borderId="83" xfId="0" applyNumberFormat="1" applyFont="1" applyFill="1" applyBorder="1" applyProtection="1">
      <protection locked="0"/>
    </xf>
    <xf numFmtId="171" fontId="17" fillId="0" borderId="39" xfId="0" applyNumberFormat="1" applyFont="1" applyFill="1" applyBorder="1" applyProtection="1">
      <protection locked="0"/>
    </xf>
    <xf numFmtId="169" fontId="24" fillId="0" borderId="90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 applyProtection="1"/>
    <xf numFmtId="171" fontId="17" fillId="0" borderId="77" xfId="0" applyNumberFormat="1" applyFont="1" applyFill="1" applyBorder="1" applyProtection="1">
      <protection locked="0"/>
    </xf>
    <xf numFmtId="171" fontId="17" fillId="0" borderId="78" xfId="0" applyNumberFormat="1" applyFont="1" applyFill="1" applyBorder="1" applyProtection="1">
      <protection locked="0"/>
    </xf>
    <xf numFmtId="169" fontId="24" fillId="0" borderId="91" xfId="0" applyNumberFormat="1" applyFont="1" applyFill="1" applyBorder="1" applyAlignment="1" applyProtection="1">
      <alignment horizontal="center" vertical="center"/>
      <protection locked="0"/>
    </xf>
    <xf numFmtId="171" fontId="17" fillId="0" borderId="0" xfId="0" applyNumberFormat="1" applyFont="1" applyFill="1" applyBorder="1" applyProtection="1">
      <protection locked="0"/>
    </xf>
    <xf numFmtId="169" fontId="24" fillId="0" borderId="0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Protection="1">
      <protection locked="0"/>
    </xf>
    <xf numFmtId="0" fontId="0" fillId="0" borderId="3" xfId="0" applyFill="1" applyBorder="1" applyProtection="1">
      <protection locked="0"/>
    </xf>
    <xf numFmtId="0" fontId="33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10" fontId="21" fillId="0" borderId="88" xfId="1" applyNumberFormat="1" applyFont="1" applyFill="1" applyBorder="1" applyAlignment="1" applyProtection="1">
      <alignment horizontal="center" wrapText="1"/>
    </xf>
    <xf numFmtId="9" fontId="21" fillId="0" borderId="88" xfId="1" applyFont="1" applyFill="1" applyBorder="1" applyAlignment="1" applyProtection="1">
      <alignment horizontal="center" wrapText="1"/>
    </xf>
    <xf numFmtId="1" fontId="0" fillId="0" borderId="0" xfId="0" applyNumberFormat="1" applyFill="1" applyBorder="1" applyProtection="1"/>
    <xf numFmtId="0" fontId="17" fillId="10" borderId="0" xfId="0" applyFont="1" applyFill="1" applyBorder="1" applyAlignment="1" applyProtection="1">
      <alignment horizontal="center" vertical="center" wrapText="1"/>
    </xf>
    <xf numFmtId="0" fontId="17" fillId="10" borderId="6" xfId="0" applyFont="1" applyFill="1" applyBorder="1" applyAlignment="1" applyProtection="1">
      <alignment horizontal="center" vertical="center" wrapText="1"/>
    </xf>
    <xf numFmtId="9" fontId="17" fillId="17" borderId="73" xfId="1" applyFont="1" applyFill="1" applyBorder="1" applyAlignment="1" applyProtection="1">
      <alignment horizontal="center" vertical="center" wrapText="1"/>
    </xf>
    <xf numFmtId="9" fontId="17" fillId="17" borderId="31" xfId="1" applyFont="1" applyFill="1" applyBorder="1" applyAlignment="1" applyProtection="1">
      <alignment horizontal="center" vertical="center" wrapText="1"/>
    </xf>
    <xf numFmtId="9" fontId="17" fillId="17" borderId="74" xfId="1" applyFont="1" applyFill="1" applyBorder="1" applyAlignment="1" applyProtection="1">
      <alignment horizontal="center" vertical="center" wrapText="1"/>
    </xf>
    <xf numFmtId="9" fontId="17" fillId="17" borderId="32" xfId="1" applyFont="1" applyFill="1" applyBorder="1" applyAlignment="1" applyProtection="1">
      <alignment horizontal="center" vertical="center" wrapText="1"/>
    </xf>
    <xf numFmtId="164" fontId="19" fillId="17" borderId="23" xfId="0" applyNumberFormat="1" applyFont="1" applyFill="1" applyBorder="1"/>
    <xf numFmtId="164" fontId="19" fillId="17" borderId="18" xfId="0" applyNumberFormat="1" applyFont="1" applyFill="1" applyBorder="1"/>
    <xf numFmtId="0" fontId="17" fillId="10" borderId="9" xfId="0" applyFont="1" applyFill="1" applyBorder="1"/>
    <xf numFmtId="1" fontId="17" fillId="10" borderId="29" xfId="0" applyNumberFormat="1" applyFont="1" applyFill="1" applyBorder="1" applyAlignment="1">
      <alignment horizontal="right"/>
    </xf>
    <xf numFmtId="1" fontId="17" fillId="10" borderId="10" xfId="0" applyNumberFormat="1" applyFont="1" applyFill="1" applyBorder="1" applyAlignment="1">
      <alignment horizontal="right"/>
    </xf>
    <xf numFmtId="1" fontId="17" fillId="10" borderId="11" xfId="0" applyNumberFormat="1" applyFont="1" applyFill="1" applyBorder="1" applyAlignment="1">
      <alignment horizontal="right"/>
    </xf>
    <xf numFmtId="0" fontId="17" fillId="4" borderId="102" xfId="0" applyFont="1" applyFill="1" applyBorder="1"/>
    <xf numFmtId="0" fontId="17" fillId="4" borderId="51" xfId="0" applyFont="1" applyFill="1" applyBorder="1"/>
    <xf numFmtId="0" fontId="17" fillId="4" borderId="75" xfId="0" applyFont="1" applyFill="1" applyBorder="1"/>
    <xf numFmtId="10" fontId="19" fillId="17" borderId="103" xfId="0" applyNumberFormat="1" applyFont="1" applyFill="1" applyBorder="1"/>
    <xf numFmtId="0" fontId="0" fillId="0" borderId="3" xfId="0" applyBorder="1"/>
    <xf numFmtId="0" fontId="0" fillId="17" borderId="1" xfId="0" applyFill="1" applyBorder="1" applyAlignment="1" applyProtection="1">
      <alignment horizontal="center" vertical="center"/>
      <protection locked="0"/>
    </xf>
    <xf numFmtId="0" fontId="20" fillId="17" borderId="9" xfId="0" applyFont="1" applyFill="1" applyBorder="1"/>
    <xf numFmtId="0" fontId="20" fillId="17" borderId="11" xfId="0" applyFont="1" applyFill="1" applyBorder="1"/>
    <xf numFmtId="0" fontId="20" fillId="17" borderId="3" xfId="0" applyFont="1" applyFill="1" applyBorder="1"/>
    <xf numFmtId="0" fontId="20" fillId="17" borderId="8" xfId="0" applyFont="1" applyFill="1" applyBorder="1"/>
    <xf numFmtId="0" fontId="26" fillId="17" borderId="3" xfId="0" applyFont="1" applyFill="1" applyBorder="1"/>
    <xf numFmtId="0" fontId="20" fillId="17" borderId="12" xfId="0" applyFont="1" applyFill="1" applyBorder="1"/>
    <xf numFmtId="0" fontId="20" fillId="17" borderId="13" xfId="0" applyFont="1" applyFill="1" applyBorder="1"/>
    <xf numFmtId="0" fontId="25" fillId="10" borderId="9" xfId="0" applyFont="1" applyFill="1" applyBorder="1" applyAlignment="1">
      <alignment horizontal="center"/>
    </xf>
    <xf numFmtId="0" fontId="25" fillId="10" borderId="10" xfId="0" applyFont="1" applyFill="1" applyBorder="1" applyAlignment="1">
      <alignment horizontal="center"/>
    </xf>
    <xf numFmtId="0" fontId="25" fillId="10" borderId="11" xfId="0" applyFont="1" applyFill="1" applyBorder="1" applyAlignment="1">
      <alignment horizontal="center"/>
    </xf>
    <xf numFmtId="0" fontId="20" fillId="10" borderId="9" xfId="0" applyFont="1" applyFill="1" applyBorder="1" applyAlignment="1">
      <alignment horizontal="center"/>
    </xf>
    <xf numFmtId="0" fontId="20" fillId="10" borderId="3" xfId="0" applyFont="1" applyFill="1" applyBorder="1"/>
    <xf numFmtId="0" fontId="20" fillId="10" borderId="3" xfId="0" quotePrefix="1" applyFont="1" applyFill="1" applyBorder="1" applyAlignment="1">
      <alignment horizontal="right"/>
    </xf>
    <xf numFmtId="0" fontId="20" fillId="10" borderId="3" xfId="0" applyFont="1" applyFill="1" applyBorder="1" applyAlignment="1">
      <alignment horizontal="right"/>
    </xf>
    <xf numFmtId="0" fontId="20" fillId="10" borderId="12" xfId="0" applyFont="1" applyFill="1" applyBorder="1" applyAlignment="1">
      <alignment horizontal="right"/>
    </xf>
    <xf numFmtId="164" fontId="0" fillId="4" borderId="3" xfId="0" applyNumberFormat="1" applyFill="1" applyBorder="1" applyAlignment="1" applyProtection="1">
      <alignment horizontal="center" wrapText="1"/>
    </xf>
    <xf numFmtId="0" fontId="17" fillId="4" borderId="3" xfId="0" applyFont="1" applyFill="1" applyBorder="1" applyAlignment="1" applyProtection="1">
      <alignment horizontal="left" vertical="center"/>
    </xf>
    <xf numFmtId="0" fontId="13" fillId="4" borderId="0" xfId="0" applyFont="1" applyFill="1" applyBorder="1" applyAlignment="1" applyProtection="1">
      <alignment horizontal="left" wrapText="1"/>
    </xf>
    <xf numFmtId="0" fontId="17" fillId="4" borderId="12" xfId="0" applyFont="1" applyFill="1" applyBorder="1" applyAlignment="1" applyProtection="1">
      <alignment horizontal="left" vertical="center"/>
    </xf>
    <xf numFmtId="9" fontId="10" fillId="0" borderId="0" xfId="0" applyNumberFormat="1" applyFont="1" applyBorder="1" applyAlignment="1">
      <alignment horizontal="center"/>
    </xf>
    <xf numFmtId="0" fontId="10" fillId="0" borderId="0" xfId="0" applyFont="1" applyBorder="1"/>
    <xf numFmtId="0" fontId="17" fillId="18" borderId="0" xfId="0" applyFont="1" applyFill="1" applyBorder="1"/>
    <xf numFmtId="0" fontId="17" fillId="0" borderId="12" xfId="0" applyFont="1" applyFill="1" applyBorder="1" applyAlignment="1">
      <alignment horizontal="left"/>
    </xf>
    <xf numFmtId="0" fontId="17" fillId="0" borderId="104" xfId="0" applyFont="1" applyFill="1" applyBorder="1" applyProtection="1">
      <protection locked="0"/>
    </xf>
    <xf numFmtId="0" fontId="17" fillId="0" borderId="105" xfId="0" applyFont="1" applyFill="1" applyBorder="1" applyProtection="1">
      <protection locked="0"/>
    </xf>
    <xf numFmtId="0" fontId="8" fillId="4" borderId="3" xfId="0" applyFont="1" applyFill="1" applyBorder="1" applyAlignment="1" applyProtection="1">
      <alignment horizontal="left" vertical="center"/>
    </xf>
    <xf numFmtId="9" fontId="17" fillId="4" borderId="3" xfId="1" applyFont="1" applyFill="1" applyBorder="1" applyAlignment="1" applyProtection="1">
      <alignment horizontal="center" vertical="center" wrapText="1"/>
    </xf>
    <xf numFmtId="9" fontId="17" fillId="4" borderId="0" xfId="1" applyFont="1" applyFill="1" applyBorder="1" applyAlignment="1" applyProtection="1">
      <alignment horizontal="center" vertical="center" wrapText="1"/>
    </xf>
    <xf numFmtId="1" fontId="17" fillId="4" borderId="4" xfId="0" applyNumberFormat="1" applyFont="1" applyFill="1" applyBorder="1" applyAlignment="1" applyProtection="1">
      <alignment horizontal="center" vertical="center" wrapText="1"/>
    </xf>
    <xf numFmtId="0" fontId="17" fillId="4" borderId="47" xfId="0" applyFont="1" applyFill="1" applyBorder="1" applyAlignment="1" applyProtection="1">
      <alignment horizontal="left" vertical="center"/>
    </xf>
    <xf numFmtId="0" fontId="17" fillId="4" borderId="2" xfId="0" applyFont="1" applyFill="1" applyBorder="1" applyAlignment="1" applyProtection="1">
      <alignment horizontal="left" vertical="center"/>
    </xf>
    <xf numFmtId="2" fontId="19" fillId="4" borderId="14" xfId="0" applyNumberFormat="1" applyFont="1" applyFill="1" applyBorder="1" applyAlignment="1" applyProtection="1">
      <alignment horizontal="center" vertical="center" wrapText="1"/>
    </xf>
    <xf numFmtId="2" fontId="19" fillId="4" borderId="15" xfId="0" applyNumberFormat="1" applyFont="1" applyFill="1" applyBorder="1" applyAlignment="1" applyProtection="1">
      <alignment horizontal="center" vertical="center" wrapText="1"/>
    </xf>
    <xf numFmtId="2" fontId="19" fillId="4" borderId="16" xfId="0" applyNumberFormat="1" applyFont="1" applyFill="1" applyBorder="1" applyAlignment="1" applyProtection="1">
      <alignment horizontal="center" vertical="center" wrapText="1"/>
    </xf>
    <xf numFmtId="2" fontId="7" fillId="0" borderId="26" xfId="0" applyNumberFormat="1" applyFont="1" applyBorder="1" applyProtection="1"/>
    <xf numFmtId="9" fontId="17" fillId="4" borderId="88" xfId="1" applyFont="1" applyFill="1" applyBorder="1" applyAlignment="1" applyProtection="1">
      <alignment horizontal="center" vertical="center" wrapText="1"/>
    </xf>
    <xf numFmtId="173" fontId="19" fillId="4" borderId="88" xfId="0" applyNumberFormat="1" applyFont="1" applyFill="1" applyBorder="1" applyAlignment="1" applyProtection="1">
      <alignment horizontal="center" vertical="center" wrapText="1"/>
    </xf>
    <xf numFmtId="0" fontId="0" fillId="0" borderId="88" xfId="0" applyFill="1" applyBorder="1" applyAlignment="1" applyProtection="1">
      <alignment horizontal="center" wrapText="1"/>
    </xf>
    <xf numFmtId="173" fontId="17" fillId="4" borderId="88" xfId="2" applyNumberFormat="1" applyFont="1" applyFill="1" applyBorder="1" applyAlignment="1" applyProtection="1">
      <alignment horizontal="center" vertical="center" wrapText="1"/>
    </xf>
    <xf numFmtId="173" fontId="19" fillId="4" borderId="88" xfId="2" applyNumberFormat="1" applyFont="1" applyFill="1" applyBorder="1" applyAlignment="1" applyProtection="1">
      <alignment horizontal="center" vertical="center" wrapText="1"/>
    </xf>
    <xf numFmtId="1" fontId="17" fillId="10" borderId="28" xfId="0" applyNumberFormat="1" applyFont="1" applyFill="1" applyBorder="1" applyAlignment="1">
      <alignment horizontal="right"/>
    </xf>
    <xf numFmtId="176" fontId="0" fillId="0" borderId="1" xfId="0" applyNumberFormat="1" applyFont="1" applyBorder="1" applyAlignment="1">
      <alignment horizontal="center"/>
    </xf>
    <xf numFmtId="0" fontId="23" fillId="15" borderId="14" xfId="0" applyFont="1" applyFill="1" applyBorder="1" applyAlignment="1"/>
    <xf numFmtId="0" fontId="23" fillId="15" borderId="15" xfId="0" applyFont="1" applyFill="1" applyBorder="1" applyAlignment="1"/>
    <xf numFmtId="173" fontId="0" fillId="0" borderId="1" xfId="0" applyNumberFormat="1" applyFont="1" applyBorder="1"/>
    <xf numFmtId="0" fontId="23" fillId="16" borderId="85" xfId="0" applyFont="1" applyFill="1" applyBorder="1" applyAlignment="1" applyProtection="1">
      <alignment horizontal="center"/>
    </xf>
    <xf numFmtId="171" fontId="17" fillId="0" borderId="3" xfId="0" applyNumberFormat="1" applyFont="1" applyFill="1" applyBorder="1" applyProtection="1">
      <protection locked="0"/>
    </xf>
    <xf numFmtId="0" fontId="33" fillId="0" borderId="3" xfId="0" applyFont="1" applyFill="1" applyBorder="1" applyAlignment="1" applyProtection="1">
      <alignment horizontal="center" vertical="center" wrapText="1"/>
      <protection locked="0"/>
    </xf>
    <xf numFmtId="1" fontId="17" fillId="4" borderId="12" xfId="0" applyNumberFormat="1" applyFont="1" applyFill="1" applyBorder="1" applyAlignment="1" applyProtection="1">
      <alignment horizontal="center" vertical="center" wrapText="1"/>
    </xf>
    <xf numFmtId="173" fontId="40" fillId="17" borderId="1" xfId="0" applyNumberFormat="1" applyFont="1" applyFill="1" applyBorder="1" applyAlignment="1" applyProtection="1">
      <alignment horizontal="center" vertical="center" wrapText="1"/>
      <protection locked="0"/>
    </xf>
    <xf numFmtId="0" fontId="23" fillId="10" borderId="84" xfId="0" applyFont="1" applyFill="1" applyBorder="1" applyAlignment="1" applyProtection="1">
      <alignment horizontal="center"/>
    </xf>
    <xf numFmtId="9" fontId="19" fillId="0" borderId="0" xfId="1" applyFont="1" applyProtection="1"/>
    <xf numFmtId="0" fontId="6" fillId="4" borderId="12" xfId="0" applyFont="1" applyFill="1" applyBorder="1" applyProtection="1"/>
    <xf numFmtId="0" fontId="5" fillId="4" borderId="48" xfId="0" applyFont="1" applyFill="1" applyBorder="1" applyAlignment="1" applyProtection="1">
      <alignment horizontal="left" vertical="center"/>
    </xf>
    <xf numFmtId="175" fontId="36" fillId="4" borderId="0" xfId="0" applyNumberFormat="1" applyFont="1" applyFill="1" applyBorder="1" applyAlignment="1" applyProtection="1">
      <alignment horizontal="center" vertical="center" wrapText="1"/>
    </xf>
    <xf numFmtId="175" fontId="36" fillId="4" borderId="4" xfId="0" applyNumberFormat="1" applyFont="1" applyFill="1" applyBorder="1" applyAlignment="1" applyProtection="1">
      <alignment horizontal="center" vertical="center" wrapText="1"/>
    </xf>
    <xf numFmtId="2" fontId="24" fillId="4" borderId="29" xfId="0" applyNumberFormat="1" applyFont="1" applyFill="1" applyBorder="1" applyAlignment="1" applyProtection="1">
      <alignment horizontal="center" vertical="center"/>
      <protection locked="0"/>
    </xf>
    <xf numFmtId="2" fontId="24" fillId="4" borderId="28" xfId="0" applyNumberFormat="1" applyFont="1" applyFill="1" applyBorder="1" applyAlignment="1" applyProtection="1">
      <alignment horizontal="center" vertical="center"/>
      <protection locked="0"/>
    </xf>
    <xf numFmtId="2" fontId="24" fillId="4" borderId="79" xfId="0" applyNumberFormat="1" applyFont="1" applyFill="1" applyBorder="1" applyAlignment="1" applyProtection="1">
      <alignment horizontal="center" vertical="center"/>
      <protection locked="0"/>
    </xf>
    <xf numFmtId="2" fontId="24" fillId="4" borderId="0" xfId="0" applyNumberFormat="1" applyFont="1" applyFill="1" applyBorder="1" applyProtection="1"/>
    <xf numFmtId="2" fontId="24" fillId="4" borderId="3" xfId="0" applyNumberFormat="1" applyFont="1" applyFill="1" applyBorder="1" applyProtection="1"/>
    <xf numFmtId="2" fontId="24" fillId="4" borderId="8" xfId="0" applyNumberFormat="1" applyFont="1" applyFill="1" applyBorder="1" applyProtection="1"/>
    <xf numFmtId="2" fontId="24" fillId="4" borderId="27" xfId="0" applyNumberFormat="1" applyFont="1" applyFill="1" applyBorder="1" applyAlignment="1" applyProtection="1">
      <alignment horizontal="center" vertical="center"/>
      <protection locked="0"/>
    </xf>
    <xf numFmtId="2" fontId="24" fillId="4" borderId="80" xfId="0" applyNumberFormat="1" applyFont="1" applyFill="1" applyBorder="1" applyAlignment="1" applyProtection="1">
      <alignment horizontal="center" vertical="center"/>
      <protection locked="0"/>
    </xf>
    <xf numFmtId="2" fontId="24" fillId="4" borderId="81" xfId="0" applyNumberFormat="1" applyFont="1" applyFill="1" applyBorder="1" applyAlignment="1" applyProtection="1">
      <alignment horizontal="center" vertical="center"/>
      <protection locked="0"/>
    </xf>
    <xf numFmtId="2" fontId="24" fillId="4" borderId="4" xfId="0" applyNumberFormat="1" applyFont="1" applyFill="1" applyBorder="1" applyProtection="1"/>
    <xf numFmtId="2" fontId="24" fillId="4" borderId="12" xfId="0" applyNumberFormat="1" applyFont="1" applyFill="1" applyBorder="1" applyProtection="1"/>
    <xf numFmtId="2" fontId="24" fillId="4" borderId="13" xfId="0" applyNumberFormat="1" applyFont="1" applyFill="1" applyBorder="1" applyProtection="1"/>
    <xf numFmtId="177" fontId="19" fillId="0" borderId="92" xfId="0" applyNumberFormat="1" applyFont="1" applyFill="1" applyBorder="1" applyAlignment="1" applyProtection="1">
      <alignment horizontal="center" vertical="center" wrapText="1"/>
      <protection locked="0"/>
    </xf>
    <xf numFmtId="177" fontId="10" fillId="0" borderId="92" xfId="0" applyNumberFormat="1" applyFont="1" applyFill="1" applyBorder="1" applyAlignment="1" applyProtection="1">
      <alignment horizontal="center" vertical="center" wrapText="1"/>
      <protection locked="0"/>
    </xf>
    <xf numFmtId="177" fontId="10" fillId="0" borderId="95" xfId="0" applyNumberFormat="1" applyFont="1" applyFill="1" applyBorder="1" applyAlignment="1" applyProtection="1">
      <alignment horizontal="center" vertical="center" wrapText="1"/>
      <protection locked="0"/>
    </xf>
    <xf numFmtId="177" fontId="19" fillId="4" borderId="3" xfId="0" applyNumberFormat="1" applyFont="1" applyFill="1" applyBorder="1" applyAlignment="1" applyProtection="1">
      <alignment horizontal="center" vertical="center" wrapText="1"/>
      <protection locked="0"/>
    </xf>
    <xf numFmtId="177" fontId="19" fillId="4" borderId="0" xfId="0" applyNumberFormat="1" applyFont="1" applyFill="1" applyBorder="1" applyAlignment="1" applyProtection="1">
      <alignment horizontal="center" vertical="center" wrapText="1"/>
      <protection locked="0"/>
    </xf>
    <xf numFmtId="177" fontId="19" fillId="4" borderId="8" xfId="0" applyNumberFormat="1" applyFont="1" applyFill="1" applyBorder="1" applyAlignment="1" applyProtection="1">
      <alignment horizontal="center" vertical="center" wrapText="1"/>
      <protection locked="0"/>
    </xf>
    <xf numFmtId="177" fontId="19" fillId="0" borderId="70" xfId="0" applyNumberFormat="1" applyFont="1" applyFill="1" applyBorder="1" applyAlignment="1" applyProtection="1">
      <alignment horizontal="center" vertical="center" wrapText="1"/>
      <protection locked="0"/>
    </xf>
    <xf numFmtId="177" fontId="10" fillId="0" borderId="70" xfId="0" applyNumberFormat="1" applyFont="1" applyFill="1" applyBorder="1" applyAlignment="1" applyProtection="1">
      <alignment horizontal="center" vertical="center" wrapText="1"/>
      <protection locked="0"/>
    </xf>
    <xf numFmtId="177" fontId="10" fillId="0" borderId="96" xfId="0" applyNumberFormat="1" applyFont="1" applyFill="1" applyBorder="1" applyAlignment="1" applyProtection="1">
      <alignment horizontal="center" vertical="center" wrapText="1"/>
      <protection locked="0"/>
    </xf>
    <xf numFmtId="177" fontId="19" fillId="0" borderId="93" xfId="0" applyNumberFormat="1" applyFont="1" applyFill="1" applyBorder="1" applyAlignment="1" applyProtection="1">
      <alignment horizontal="center" vertical="center" wrapText="1"/>
      <protection locked="0"/>
    </xf>
    <xf numFmtId="177" fontId="10" fillId="0" borderId="93" xfId="0" applyNumberFormat="1" applyFont="1" applyFill="1" applyBorder="1" applyAlignment="1" applyProtection="1">
      <alignment horizontal="center" vertical="center" wrapText="1"/>
      <protection locked="0"/>
    </xf>
    <xf numFmtId="177" fontId="10" fillId="0" borderId="98" xfId="0" applyNumberFormat="1" applyFont="1" applyFill="1" applyBorder="1" applyAlignment="1" applyProtection="1">
      <alignment horizontal="center" vertical="center" wrapText="1"/>
      <protection locked="0"/>
    </xf>
    <xf numFmtId="177" fontId="19" fillId="0" borderId="3" xfId="0" applyNumberFormat="1" applyFont="1" applyBorder="1" applyAlignment="1" applyProtection="1">
      <alignment horizontal="center"/>
    </xf>
    <xf numFmtId="177" fontId="19" fillId="0" borderId="0" xfId="0" applyNumberFormat="1" applyFont="1" applyBorder="1" applyAlignment="1" applyProtection="1">
      <alignment horizontal="center"/>
    </xf>
    <xf numFmtId="177" fontId="19" fillId="0" borderId="8" xfId="0" applyNumberFormat="1" applyFont="1" applyBorder="1" applyAlignment="1" applyProtection="1">
      <alignment horizontal="center"/>
    </xf>
    <xf numFmtId="177" fontId="19" fillId="15" borderId="15" xfId="0" applyNumberFormat="1" applyFont="1" applyFill="1" applyBorder="1" applyProtection="1"/>
    <xf numFmtId="177" fontId="10" fillId="15" borderId="15" xfId="0" applyNumberFormat="1" applyFont="1" applyFill="1" applyBorder="1"/>
    <xf numFmtId="177" fontId="10" fillId="15" borderId="16" xfId="0" applyNumberFormat="1" applyFont="1" applyFill="1" applyBorder="1"/>
    <xf numFmtId="177" fontId="19" fillId="15" borderId="14" xfId="0" applyNumberFormat="1" applyFont="1" applyFill="1" applyBorder="1" applyProtection="1"/>
    <xf numFmtId="177" fontId="19" fillId="15" borderId="16" xfId="0" applyNumberFormat="1" applyFont="1" applyFill="1" applyBorder="1" applyProtection="1"/>
    <xf numFmtId="177" fontId="19" fillId="0" borderId="56" xfId="0" applyNumberFormat="1" applyFont="1" applyFill="1" applyBorder="1" applyAlignment="1" applyProtection="1">
      <alignment horizontal="center" vertical="center"/>
      <protection locked="0"/>
    </xf>
    <xf numFmtId="177" fontId="10" fillId="0" borderId="56" xfId="0" applyNumberFormat="1" applyFont="1" applyFill="1" applyBorder="1" applyAlignment="1" applyProtection="1">
      <alignment horizontal="center" vertical="center"/>
      <protection locked="0"/>
    </xf>
    <xf numFmtId="177" fontId="10" fillId="0" borderId="100" xfId="0" applyNumberFormat="1" applyFont="1" applyFill="1" applyBorder="1" applyAlignment="1" applyProtection="1">
      <alignment horizontal="center" vertical="center"/>
      <protection locked="0"/>
    </xf>
    <xf numFmtId="177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77" fontId="19" fillId="0" borderId="0" xfId="0" applyNumberFormat="1" applyFont="1" applyFill="1" applyBorder="1" applyAlignment="1" applyProtection="1">
      <alignment horizontal="center" vertical="center" wrapText="1"/>
      <protection locked="0"/>
    </xf>
    <xf numFmtId="177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177" fontId="19" fillId="0" borderId="72" xfId="0" applyNumberFormat="1" applyFont="1" applyFill="1" applyBorder="1" applyAlignment="1" applyProtection="1">
      <alignment horizontal="center" vertical="center" wrapText="1"/>
      <protection locked="0"/>
    </xf>
    <xf numFmtId="177" fontId="10" fillId="0" borderId="72" xfId="0" applyNumberFormat="1" applyFont="1" applyFill="1" applyBorder="1" applyAlignment="1" applyProtection="1">
      <alignment horizontal="center" vertical="center" wrapText="1"/>
      <protection locked="0"/>
    </xf>
    <xf numFmtId="177" fontId="10" fillId="0" borderId="101" xfId="0" applyNumberFormat="1" applyFont="1" applyFill="1" applyBorder="1" applyAlignment="1" applyProtection="1">
      <alignment horizontal="center" vertical="center" wrapText="1"/>
      <protection locked="0"/>
    </xf>
    <xf numFmtId="177" fontId="19" fillId="0" borderId="12" xfId="0" applyNumberFormat="1" applyFont="1" applyFill="1" applyBorder="1" applyAlignment="1" applyProtection="1">
      <alignment horizontal="center"/>
    </xf>
    <xf numFmtId="177" fontId="19" fillId="0" borderId="4" xfId="0" applyNumberFormat="1" applyFont="1" applyFill="1" applyBorder="1" applyAlignment="1" applyProtection="1">
      <alignment horizontal="center"/>
    </xf>
    <xf numFmtId="177" fontId="19" fillId="0" borderId="13" xfId="0" applyNumberFormat="1" applyFont="1" applyFill="1" applyBorder="1" applyAlignment="1" applyProtection="1">
      <alignment horizontal="center"/>
    </xf>
    <xf numFmtId="177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177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177" fontId="19" fillId="0" borderId="11" xfId="0" applyNumberFormat="1" applyFont="1" applyFill="1" applyBorder="1" applyAlignment="1" applyProtection="1">
      <alignment horizontal="center" vertical="center" wrapText="1"/>
      <protection locked="0"/>
    </xf>
    <xf numFmtId="177" fontId="19" fillId="15" borderId="0" xfId="0" applyNumberFormat="1" applyFont="1" applyFill="1" applyBorder="1" applyProtection="1"/>
    <xf numFmtId="177" fontId="19" fillId="15" borderId="8" xfId="0" applyNumberFormat="1" applyFont="1" applyFill="1" applyBorder="1" applyProtection="1"/>
    <xf numFmtId="177" fontId="19" fillId="15" borderId="3" xfId="0" applyNumberFormat="1" applyFont="1" applyFill="1" applyBorder="1" applyProtection="1"/>
    <xf numFmtId="177" fontId="19" fillId="4" borderId="0" xfId="0" applyNumberFormat="1" applyFont="1" applyFill="1" applyBorder="1" applyAlignment="1" applyProtection="1">
      <alignment horizontal="center" vertical="center" wrapText="1"/>
    </xf>
    <xf numFmtId="177" fontId="19" fillId="4" borderId="8" xfId="0" applyNumberFormat="1" applyFont="1" applyFill="1" applyBorder="1" applyAlignment="1" applyProtection="1">
      <alignment horizontal="center" vertical="center" wrapText="1"/>
    </xf>
    <xf numFmtId="177" fontId="19" fillId="4" borderId="3" xfId="0" applyNumberFormat="1" applyFont="1" applyFill="1" applyBorder="1" applyAlignment="1" applyProtection="1">
      <alignment horizontal="center" vertical="center" wrapText="1"/>
    </xf>
    <xf numFmtId="177" fontId="19" fillId="4" borderId="5" xfId="0" applyNumberFormat="1" applyFont="1" applyFill="1" applyBorder="1" applyAlignment="1" applyProtection="1">
      <alignment horizontal="center" vertical="center" wrapText="1"/>
    </xf>
    <xf numFmtId="177" fontId="19" fillId="4" borderId="19" xfId="0" applyNumberFormat="1" applyFont="1" applyFill="1" applyBorder="1" applyAlignment="1" applyProtection="1">
      <alignment horizontal="center" vertical="center" wrapText="1"/>
    </xf>
    <xf numFmtId="177" fontId="19" fillId="4" borderId="12" xfId="0" applyNumberFormat="1" applyFont="1" applyFill="1" applyBorder="1" applyAlignment="1" applyProtection="1">
      <alignment horizontal="center" vertical="center" wrapText="1"/>
    </xf>
    <xf numFmtId="177" fontId="19" fillId="4" borderId="4" xfId="0" applyNumberFormat="1" applyFont="1" applyFill="1" applyBorder="1" applyAlignment="1" applyProtection="1">
      <alignment horizontal="center" vertical="center" wrapText="1"/>
    </xf>
    <xf numFmtId="177" fontId="19" fillId="4" borderId="13" xfId="0" applyNumberFormat="1" applyFont="1" applyFill="1" applyBorder="1" applyAlignment="1" applyProtection="1">
      <alignment horizontal="center" vertical="center" wrapText="1"/>
    </xf>
    <xf numFmtId="178" fontId="19" fillId="0" borderId="88" xfId="0" applyNumberFormat="1" applyFont="1" applyFill="1" applyBorder="1" applyAlignment="1" applyProtection="1">
      <alignment horizontal="center" vertical="center" wrapText="1"/>
      <protection locked="0"/>
    </xf>
    <xf numFmtId="178" fontId="0" fillId="0" borderId="88" xfId="0" applyNumberFormat="1" applyFill="1" applyBorder="1" applyProtection="1">
      <protection locked="0"/>
    </xf>
    <xf numFmtId="172" fontId="17" fillId="4" borderId="88" xfId="0" applyNumberFormat="1" applyFont="1" applyFill="1" applyBorder="1" applyAlignment="1" applyProtection="1">
      <alignment horizontal="center" vertical="center" wrapText="1"/>
    </xf>
    <xf numFmtId="179" fontId="0" fillId="0" borderId="10" xfId="0" applyNumberFormat="1" applyBorder="1"/>
    <xf numFmtId="179" fontId="0" fillId="0" borderId="47" xfId="0" applyNumberFormat="1" applyBorder="1"/>
    <xf numFmtId="179" fontId="0" fillId="0" borderId="11" xfId="0" applyNumberFormat="1" applyBorder="1"/>
    <xf numFmtId="179" fontId="0" fillId="0" borderId="4" xfId="0" applyNumberFormat="1" applyBorder="1"/>
    <xf numFmtId="179" fontId="0" fillId="0" borderId="2" xfId="0" applyNumberFormat="1" applyBorder="1"/>
    <xf numFmtId="179" fontId="0" fillId="0" borderId="13" xfId="0" applyNumberFormat="1" applyBorder="1"/>
    <xf numFmtId="10" fontId="0" fillId="0" borderId="30" xfId="0" applyNumberFormat="1" applyBorder="1" applyProtection="1"/>
    <xf numFmtId="10" fontId="0" fillId="0" borderId="89" xfId="0" applyNumberFormat="1" applyBorder="1" applyProtection="1"/>
    <xf numFmtId="1" fontId="0" fillId="0" borderId="30" xfId="0" applyNumberFormat="1" applyBorder="1" applyProtection="1"/>
    <xf numFmtId="1" fontId="0" fillId="0" borderId="89" xfId="0" applyNumberFormat="1" applyBorder="1" applyProtection="1"/>
    <xf numFmtId="1" fontId="23" fillId="10" borderId="88" xfId="0" applyNumberFormat="1" applyFont="1" applyFill="1" applyBorder="1" applyAlignment="1" applyProtection="1">
      <alignment horizontal="center" vertical="center"/>
    </xf>
    <xf numFmtId="0" fontId="23" fillId="10" borderId="88" xfId="0" applyFont="1" applyFill="1" applyBorder="1" applyAlignment="1" applyProtection="1">
      <alignment horizontal="center"/>
    </xf>
    <xf numFmtId="0" fontId="23" fillId="16" borderId="88" xfId="0" applyFont="1" applyFill="1" applyBorder="1" applyAlignment="1" applyProtection="1">
      <alignment horizontal="center"/>
    </xf>
    <xf numFmtId="178" fontId="24" fillId="0" borderId="88" xfId="0" applyNumberFormat="1" applyFont="1" applyFill="1" applyBorder="1" applyAlignment="1" applyProtection="1">
      <alignment horizontal="center" vertical="center"/>
      <protection locked="0"/>
    </xf>
    <xf numFmtId="178" fontId="10" fillId="0" borderId="88" xfId="0" applyNumberFormat="1" applyFont="1" applyFill="1" applyBorder="1" applyAlignment="1" applyProtection="1">
      <alignment horizontal="center" vertical="center" wrapText="1"/>
      <protection locked="0"/>
    </xf>
    <xf numFmtId="164" fontId="0" fillId="4" borderId="88" xfId="0" applyNumberFormat="1" applyFill="1" applyBorder="1" applyAlignment="1" applyProtection="1">
      <alignment horizontal="center" wrapText="1"/>
    </xf>
    <xf numFmtId="164" fontId="0" fillId="0" borderId="88" xfId="0" applyNumberFormat="1" applyFill="1" applyBorder="1" applyAlignment="1" applyProtection="1">
      <alignment horizontal="center" wrapText="1"/>
    </xf>
    <xf numFmtId="0" fontId="0" fillId="0" borderId="88" xfId="0" applyFill="1" applyBorder="1" applyProtection="1"/>
    <xf numFmtId="165" fontId="21" fillId="0" borderId="88" xfId="1" applyNumberFormat="1" applyFont="1" applyFill="1" applyBorder="1" applyAlignment="1" applyProtection="1">
      <alignment horizontal="center" wrapText="1"/>
    </xf>
    <xf numFmtId="0" fontId="17" fillId="18" borderId="55" xfId="0" applyFont="1" applyFill="1" applyBorder="1" applyProtection="1">
      <protection locked="0"/>
    </xf>
    <xf numFmtId="171" fontId="17" fillId="0" borderId="107" xfId="0" applyNumberFormat="1" applyFont="1" applyFill="1" applyBorder="1" applyProtection="1">
      <protection locked="0"/>
    </xf>
    <xf numFmtId="171" fontId="17" fillId="18" borderId="107" xfId="0" applyNumberFormat="1" applyFont="1" applyFill="1" applyBorder="1" applyProtection="1">
      <protection locked="0"/>
    </xf>
    <xf numFmtId="0" fontId="17" fillId="0" borderId="108" xfId="0" applyFont="1" applyFill="1" applyBorder="1" applyProtection="1">
      <protection locked="0"/>
    </xf>
    <xf numFmtId="0" fontId="0" fillId="0" borderId="88" xfId="0" applyBorder="1" applyProtection="1"/>
    <xf numFmtId="173" fontId="17" fillId="18" borderId="88" xfId="0" applyNumberFormat="1" applyFont="1" applyFill="1" applyBorder="1" applyProtection="1">
      <protection locked="0"/>
    </xf>
    <xf numFmtId="173" fontId="23" fillId="4" borderId="88" xfId="0" applyNumberFormat="1" applyFont="1" applyFill="1" applyBorder="1" applyProtection="1">
      <protection locked="0"/>
    </xf>
    <xf numFmtId="9" fontId="10" fillId="0" borderId="88" xfId="0" applyNumberFormat="1" applyFont="1" applyBorder="1" applyAlignment="1">
      <alignment horizontal="center"/>
    </xf>
    <xf numFmtId="9" fontId="10" fillId="4" borderId="88" xfId="0" applyNumberFormat="1" applyFont="1" applyFill="1" applyBorder="1"/>
    <xf numFmtId="0" fontId="10" fillId="4" borderId="88" xfId="0" applyFont="1" applyFill="1" applyBorder="1"/>
    <xf numFmtId="10" fontId="10" fillId="0" borderId="88" xfId="0" applyNumberFormat="1" applyFont="1" applyBorder="1" applyAlignment="1">
      <alignment horizontal="center"/>
    </xf>
    <xf numFmtId="171" fontId="17" fillId="0" borderId="88" xfId="0" applyNumberFormat="1" applyFont="1" applyFill="1" applyBorder="1" applyProtection="1">
      <protection locked="0"/>
    </xf>
    <xf numFmtId="173" fontId="17" fillId="0" borderId="88" xfId="2" applyNumberFormat="1" applyFont="1" applyFill="1" applyBorder="1" applyProtection="1">
      <protection locked="0"/>
    </xf>
    <xf numFmtId="173" fontId="17" fillId="4" borderId="88" xfId="2" applyNumberFormat="1" applyFont="1" applyFill="1" applyBorder="1" applyProtection="1">
      <protection locked="0"/>
    </xf>
    <xf numFmtId="171" fontId="17" fillId="18" borderId="88" xfId="0" applyNumberFormat="1" applyFont="1" applyFill="1" applyBorder="1" applyProtection="1">
      <protection locked="0"/>
    </xf>
    <xf numFmtId="173" fontId="17" fillId="4" borderId="88" xfId="0" applyNumberFormat="1" applyFont="1" applyFill="1" applyBorder="1" applyProtection="1">
      <protection locked="0"/>
    </xf>
    <xf numFmtId="173" fontId="17" fillId="0" borderId="88" xfId="0" applyNumberFormat="1" applyFont="1" applyFill="1" applyBorder="1" applyProtection="1">
      <protection locked="0"/>
    </xf>
    <xf numFmtId="173" fontId="10" fillId="4" borderId="88" xfId="0" applyNumberFormat="1" applyFont="1" applyFill="1" applyBorder="1" applyProtection="1">
      <protection locked="0"/>
    </xf>
    <xf numFmtId="0" fontId="10" fillId="0" borderId="88" xfId="0" applyFont="1" applyBorder="1"/>
    <xf numFmtId="0" fontId="17" fillId="18" borderId="88" xfId="0" applyFont="1" applyFill="1" applyBorder="1"/>
    <xf numFmtId="173" fontId="17" fillId="18" borderId="88" xfId="0" applyNumberFormat="1" applyFont="1" applyFill="1" applyBorder="1"/>
    <xf numFmtId="173" fontId="17" fillId="4" borderId="88" xfId="0" applyNumberFormat="1" applyFont="1" applyFill="1" applyBorder="1"/>
    <xf numFmtId="174" fontId="17" fillId="0" borderId="88" xfId="0" applyNumberFormat="1" applyFont="1" applyFill="1" applyBorder="1" applyProtection="1">
      <protection locked="0"/>
    </xf>
    <xf numFmtId="174" fontId="10" fillId="4" borderId="88" xfId="0" applyNumberFormat="1" applyFont="1" applyFill="1" applyBorder="1" applyProtection="1">
      <protection locked="0"/>
    </xf>
    <xf numFmtId="173" fontId="10" fillId="0" borderId="88" xfId="0" applyNumberFormat="1" applyFont="1" applyBorder="1"/>
    <xf numFmtId="173" fontId="10" fillId="4" borderId="88" xfId="0" applyNumberFormat="1" applyFont="1" applyFill="1" applyBorder="1"/>
    <xf numFmtId="173" fontId="23" fillId="10" borderId="88" xfId="0" applyNumberFormat="1" applyFont="1" applyFill="1" applyBorder="1" applyProtection="1">
      <protection locked="0"/>
    </xf>
    <xf numFmtId="172" fontId="0" fillId="16" borderId="88" xfId="0" applyNumberFormat="1" applyFill="1" applyBorder="1" applyAlignment="1">
      <alignment horizontal="center"/>
    </xf>
    <xf numFmtId="172" fontId="0" fillId="0" borderId="88" xfId="0" applyNumberFormat="1" applyBorder="1" applyAlignment="1">
      <alignment horizontal="center"/>
    </xf>
    <xf numFmtId="0" fontId="23" fillId="10" borderId="85" xfId="0" applyFont="1" applyFill="1" applyBorder="1" applyAlignment="1" applyProtection="1">
      <alignment horizontal="center"/>
    </xf>
    <xf numFmtId="0" fontId="0" fillId="0" borderId="106" xfId="0" applyBorder="1" applyProtection="1"/>
    <xf numFmtId="0" fontId="17" fillId="18" borderId="106" xfId="0" applyFont="1" applyFill="1" applyBorder="1" applyProtection="1">
      <protection locked="0"/>
    </xf>
    <xf numFmtId="9" fontId="10" fillId="0" borderId="106" xfId="0" applyNumberFormat="1" applyFont="1" applyBorder="1" applyAlignment="1">
      <alignment horizontal="center"/>
    </xf>
    <xf numFmtId="173" fontId="17" fillId="18" borderId="106" xfId="0" applyNumberFormat="1" applyFont="1" applyFill="1" applyBorder="1" applyProtection="1">
      <protection locked="0"/>
    </xf>
    <xf numFmtId="171" fontId="17" fillId="0" borderId="106" xfId="0" applyNumberFormat="1" applyFont="1" applyFill="1" applyBorder="1" applyProtection="1">
      <protection locked="0"/>
    </xf>
    <xf numFmtId="171" fontId="17" fillId="18" borderId="106" xfId="0" applyNumberFormat="1" applyFont="1" applyFill="1" applyBorder="1" applyProtection="1">
      <protection locked="0"/>
    </xf>
    <xf numFmtId="10" fontId="10" fillId="0" borderId="106" xfId="0" applyNumberFormat="1" applyFont="1" applyBorder="1" applyAlignment="1">
      <alignment horizontal="center"/>
    </xf>
    <xf numFmtId="0" fontId="10" fillId="0" borderId="106" xfId="0" applyFont="1" applyBorder="1"/>
    <xf numFmtId="0" fontId="17" fillId="18" borderId="106" xfId="0" applyFont="1" applyFill="1" applyBorder="1"/>
    <xf numFmtId="173" fontId="23" fillId="10" borderId="106" xfId="0" applyNumberFormat="1" applyFont="1" applyFill="1" applyBorder="1" applyProtection="1">
      <protection locked="0"/>
    </xf>
    <xf numFmtId="9" fontId="0" fillId="0" borderId="106" xfId="0" applyNumberFormat="1" applyBorder="1" applyAlignment="1">
      <alignment horizontal="center"/>
    </xf>
    <xf numFmtId="2" fontId="0" fillId="16" borderId="106" xfId="0" applyNumberFormat="1" applyFill="1" applyBorder="1" applyAlignment="1">
      <alignment horizontal="center"/>
    </xf>
    <xf numFmtId="0" fontId="17" fillId="0" borderId="86" xfId="0" applyFont="1" applyFill="1" applyBorder="1" applyProtection="1">
      <protection locked="0"/>
    </xf>
    <xf numFmtId="0" fontId="17" fillId="0" borderId="87" xfId="0" applyFont="1" applyFill="1" applyBorder="1" applyProtection="1">
      <protection locked="0"/>
    </xf>
    <xf numFmtId="0" fontId="19" fillId="4" borderId="9" xfId="0" applyFont="1" applyFill="1" applyBorder="1" applyAlignment="1" applyProtection="1">
      <alignment horizontal="center" vertical="center" wrapText="1"/>
    </xf>
    <xf numFmtId="0" fontId="19" fillId="4" borderId="10" xfId="0" applyFont="1" applyFill="1" applyBorder="1" applyAlignment="1" applyProtection="1">
      <alignment horizontal="center" vertical="center" wrapText="1"/>
    </xf>
    <xf numFmtId="0" fontId="19" fillId="4" borderId="11" xfId="0" applyFont="1" applyFill="1" applyBorder="1" applyAlignment="1" applyProtection="1">
      <alignment horizontal="center" vertical="center" wrapText="1"/>
    </xf>
    <xf numFmtId="9" fontId="0" fillId="4" borderId="0" xfId="1" applyFont="1" applyFill="1" applyBorder="1"/>
    <xf numFmtId="165" fontId="19" fillId="4" borderId="8" xfId="0" applyNumberFormat="1" applyFont="1" applyFill="1" applyBorder="1" applyAlignment="1" applyProtection="1">
      <alignment horizontal="center" vertical="center" wrapText="1"/>
    </xf>
    <xf numFmtId="165" fontId="19" fillId="4" borderId="3" xfId="0" applyNumberFormat="1" applyFont="1" applyFill="1" applyBorder="1" applyAlignment="1" applyProtection="1">
      <alignment horizontal="center" vertical="center" wrapText="1"/>
    </xf>
    <xf numFmtId="165" fontId="19" fillId="4" borderId="0" xfId="0" applyNumberFormat="1" applyFont="1" applyFill="1" applyBorder="1" applyAlignment="1" applyProtection="1">
      <alignment horizontal="center" vertical="center" wrapText="1"/>
    </xf>
    <xf numFmtId="165" fontId="19" fillId="4" borderId="8" xfId="0" applyNumberFormat="1" applyFont="1" applyFill="1" applyBorder="1" applyAlignment="1" applyProtection="1">
      <alignment horizontal="center" vertical="center"/>
    </xf>
    <xf numFmtId="165" fontId="19" fillId="4" borderId="3" xfId="0" applyNumberFormat="1" applyFont="1" applyFill="1" applyBorder="1" applyAlignment="1" applyProtection="1">
      <alignment horizontal="center" vertical="center"/>
    </xf>
    <xf numFmtId="165" fontId="19" fillId="4" borderId="0" xfId="0" applyNumberFormat="1" applyFont="1" applyFill="1" applyBorder="1" applyAlignment="1" applyProtection="1">
      <alignment horizontal="center" vertical="center"/>
    </xf>
    <xf numFmtId="165" fontId="19" fillId="4" borderId="13" xfId="0" applyNumberFormat="1" applyFont="1" applyFill="1" applyBorder="1" applyAlignment="1" applyProtection="1">
      <alignment horizontal="center" vertical="center"/>
    </xf>
    <xf numFmtId="165" fontId="19" fillId="4" borderId="12" xfId="0" applyNumberFormat="1" applyFont="1" applyFill="1" applyBorder="1" applyAlignment="1" applyProtection="1">
      <alignment horizontal="center" vertical="center"/>
    </xf>
    <xf numFmtId="165" fontId="19" fillId="4" borderId="4" xfId="0" applyNumberFormat="1" applyFont="1" applyFill="1" applyBorder="1" applyAlignment="1" applyProtection="1">
      <alignment horizontal="center" vertical="center"/>
    </xf>
    <xf numFmtId="10" fontId="0" fillId="0" borderId="88" xfId="0" applyNumberFormat="1" applyBorder="1" applyAlignment="1">
      <alignment horizontal="center"/>
    </xf>
    <xf numFmtId="180" fontId="36" fillId="4" borderId="3" xfId="0" applyNumberFormat="1" applyFont="1" applyFill="1" applyBorder="1" applyAlignment="1" applyProtection="1">
      <alignment horizontal="center" vertical="center" wrapText="1"/>
    </xf>
    <xf numFmtId="180" fontId="36" fillId="4" borderId="0" xfId="0" applyNumberFormat="1" applyFont="1" applyFill="1" applyBorder="1" applyAlignment="1" applyProtection="1">
      <alignment horizontal="center" vertical="center" wrapText="1"/>
    </xf>
    <xf numFmtId="180" fontId="36" fillId="4" borderId="12" xfId="0" applyNumberFormat="1" applyFont="1" applyFill="1" applyBorder="1" applyAlignment="1" applyProtection="1">
      <alignment horizontal="center" vertical="center" wrapText="1"/>
    </xf>
    <xf numFmtId="180" fontId="36" fillId="4" borderId="4" xfId="0" applyNumberFormat="1" applyFont="1" applyFill="1" applyBorder="1" applyAlignment="1" applyProtection="1">
      <alignment horizontal="center" vertical="center" wrapText="1"/>
    </xf>
    <xf numFmtId="180" fontId="36" fillId="4" borderId="13" xfId="0" applyNumberFormat="1" applyFont="1" applyFill="1" applyBorder="1" applyAlignment="1" applyProtection="1">
      <alignment horizontal="center" vertical="center" wrapText="1"/>
    </xf>
    <xf numFmtId="0" fontId="4" fillId="4" borderId="3" xfId="0" applyFont="1" applyFill="1" applyBorder="1" applyAlignment="1" applyProtection="1">
      <alignment horizontal="left"/>
    </xf>
    <xf numFmtId="2" fontId="0" fillId="16" borderId="3" xfId="0" applyNumberFormat="1" applyFill="1" applyBorder="1" applyAlignment="1">
      <alignment horizontal="center"/>
    </xf>
    <xf numFmtId="2" fontId="0" fillId="16" borderId="0" xfId="0" applyNumberFormat="1" applyFill="1" applyBorder="1" applyAlignment="1">
      <alignment horizontal="center"/>
    </xf>
    <xf numFmtId="2" fontId="0" fillId="16" borderId="102" xfId="0" applyNumberFormat="1" applyFill="1" applyBorder="1" applyAlignment="1">
      <alignment horizontal="center"/>
    </xf>
    <xf numFmtId="172" fontId="0" fillId="16" borderId="109" xfId="0" applyNumberFormat="1" applyFill="1" applyBorder="1" applyAlignment="1">
      <alignment horizontal="center"/>
    </xf>
    <xf numFmtId="9" fontId="0" fillId="0" borderId="109" xfId="1" applyFont="1" applyBorder="1" applyAlignment="1">
      <alignment horizontal="center"/>
    </xf>
    <xf numFmtId="173" fontId="17" fillId="18" borderId="3" xfId="0" applyNumberFormat="1" applyFont="1" applyFill="1" applyBorder="1" applyProtection="1">
      <protection locked="0"/>
    </xf>
    <xf numFmtId="173" fontId="17" fillId="18" borderId="0" xfId="0" applyNumberFormat="1" applyFont="1" applyFill="1" applyBorder="1" applyProtection="1">
      <protection locked="0"/>
    </xf>
    <xf numFmtId="9" fontId="0" fillId="0" borderId="0" xfId="1" applyFont="1" applyProtection="1"/>
    <xf numFmtId="165" fontId="0" fillId="4" borderId="0" xfId="1" applyNumberFormat="1" applyFont="1" applyFill="1"/>
    <xf numFmtId="165" fontId="0" fillId="0" borderId="0" xfId="1" applyNumberFormat="1" applyFont="1"/>
    <xf numFmtId="177" fontId="3" fillId="0" borderId="101" xfId="0" applyNumberFormat="1" applyFont="1" applyFill="1" applyBorder="1" applyAlignment="1" applyProtection="1">
      <alignment horizontal="center" vertical="center" wrapText="1"/>
      <protection locked="0"/>
    </xf>
    <xf numFmtId="9" fontId="15" fillId="0" borderId="0" xfId="1" applyFont="1" applyFill="1" applyBorder="1" applyAlignment="1" applyProtection="1">
      <alignment vertical="center"/>
    </xf>
    <xf numFmtId="9" fontId="0" fillId="4" borderId="0" xfId="1" applyFont="1" applyFill="1"/>
    <xf numFmtId="9" fontId="2" fillId="0" borderId="88" xfId="0" applyNumberFormat="1" applyFont="1" applyBorder="1" applyAlignment="1">
      <alignment horizontal="center"/>
    </xf>
    <xf numFmtId="0" fontId="23" fillId="10" borderId="3" xfId="0" applyFont="1" applyFill="1" applyBorder="1"/>
    <xf numFmtId="173" fontId="23" fillId="10" borderId="0" xfId="0" applyNumberFormat="1" applyFont="1" applyFill="1" applyBorder="1" applyProtection="1">
      <protection locked="0"/>
    </xf>
    <xf numFmtId="9" fontId="23" fillId="10" borderId="88" xfId="1" applyFont="1" applyFill="1" applyBorder="1" applyProtection="1">
      <protection locked="0"/>
    </xf>
    <xf numFmtId="0" fontId="23" fillId="16" borderId="30" xfId="0" applyFont="1" applyFill="1" applyBorder="1" applyAlignment="1" applyProtection="1">
      <alignment horizontal="center"/>
    </xf>
    <xf numFmtId="0" fontId="0" fillId="0" borderId="25" xfId="0" applyBorder="1" applyProtection="1"/>
    <xf numFmtId="173" fontId="23" fillId="4" borderId="25" xfId="0" applyNumberFormat="1" applyFont="1" applyFill="1" applyBorder="1" applyProtection="1">
      <protection locked="0"/>
    </xf>
    <xf numFmtId="9" fontId="10" fillId="4" borderId="25" xfId="0" applyNumberFormat="1" applyFont="1" applyFill="1" applyBorder="1"/>
    <xf numFmtId="9" fontId="0" fillId="0" borderId="23" xfId="1" applyFont="1" applyBorder="1" applyAlignment="1">
      <alignment horizontal="center"/>
    </xf>
    <xf numFmtId="10" fontId="10" fillId="0" borderId="25" xfId="0" applyNumberFormat="1" applyFont="1" applyBorder="1" applyAlignment="1">
      <alignment horizontal="center"/>
    </xf>
    <xf numFmtId="173" fontId="17" fillId="4" borderId="25" xfId="2" applyNumberFormat="1" applyFont="1" applyFill="1" applyBorder="1" applyProtection="1">
      <protection locked="0"/>
    </xf>
    <xf numFmtId="173" fontId="17" fillId="4" borderId="25" xfId="0" applyNumberFormat="1" applyFont="1" applyFill="1" applyBorder="1" applyProtection="1">
      <protection locked="0"/>
    </xf>
    <xf numFmtId="9" fontId="10" fillId="0" borderId="25" xfId="0" applyNumberFormat="1" applyFont="1" applyBorder="1" applyAlignment="1">
      <alignment horizontal="center"/>
    </xf>
    <xf numFmtId="173" fontId="10" fillId="4" borderId="25" xfId="0" applyNumberFormat="1" applyFont="1" applyFill="1" applyBorder="1" applyProtection="1">
      <protection locked="0"/>
    </xf>
    <xf numFmtId="0" fontId="10" fillId="4" borderId="25" xfId="0" applyFont="1" applyFill="1" applyBorder="1"/>
    <xf numFmtId="173" fontId="17" fillId="4" borderId="25" xfId="0" applyNumberFormat="1" applyFont="1" applyFill="1" applyBorder="1"/>
    <xf numFmtId="174" fontId="10" fillId="4" borderId="25" xfId="0" applyNumberFormat="1" applyFont="1" applyFill="1" applyBorder="1" applyProtection="1">
      <protection locked="0"/>
    </xf>
    <xf numFmtId="173" fontId="10" fillId="4" borderId="25" xfId="0" applyNumberFormat="1" applyFont="1" applyFill="1" applyBorder="1"/>
    <xf numFmtId="10" fontId="0" fillId="0" borderId="25" xfId="0" applyNumberFormat="1" applyBorder="1" applyAlignment="1">
      <alignment horizontal="center"/>
    </xf>
    <xf numFmtId="172" fontId="0" fillId="0" borderId="25" xfId="0" applyNumberFormat="1" applyBorder="1" applyAlignment="1">
      <alignment horizontal="center"/>
    </xf>
    <xf numFmtId="0" fontId="17" fillId="0" borderId="89" xfId="0" applyFont="1" applyFill="1" applyBorder="1" applyProtection="1">
      <protection locked="0"/>
    </xf>
    <xf numFmtId="0" fontId="23" fillId="16" borderId="110" xfId="0" applyFont="1" applyFill="1" applyBorder="1" applyAlignment="1" applyProtection="1">
      <alignment horizontal="center"/>
    </xf>
    <xf numFmtId="0" fontId="19" fillId="0" borderId="111" xfId="0" applyFont="1" applyBorder="1" applyProtection="1"/>
    <xf numFmtId="10" fontId="17" fillId="0" borderId="111" xfId="0" applyNumberFormat="1" applyFont="1" applyBorder="1" applyAlignment="1" applyProtection="1">
      <alignment horizontal="center"/>
    </xf>
    <xf numFmtId="0" fontId="19" fillId="0" borderId="111" xfId="0" applyFont="1" applyBorder="1" applyAlignment="1" applyProtection="1">
      <alignment horizontal="left"/>
    </xf>
    <xf numFmtId="180" fontId="36" fillId="4" borderId="8" xfId="0" applyNumberFormat="1" applyFont="1" applyFill="1" applyBorder="1" applyAlignment="1" applyProtection="1">
      <alignment horizontal="center" vertical="center" wrapText="1"/>
    </xf>
    <xf numFmtId="0" fontId="41" fillId="16" borderId="14" xfId="0" applyFont="1" applyFill="1" applyBorder="1" applyAlignment="1" applyProtection="1">
      <alignment horizontal="center" vertical="center"/>
      <protection locked="0"/>
    </xf>
    <xf numFmtId="0" fontId="29" fillId="16" borderId="15" xfId="0" applyFont="1" applyFill="1" applyBorder="1" applyAlignment="1" applyProtection="1">
      <alignment horizontal="center" vertical="center"/>
      <protection locked="0"/>
    </xf>
    <xf numFmtId="0" fontId="29" fillId="16" borderId="10" xfId="0" applyFont="1" applyFill="1" applyBorder="1" applyAlignment="1" applyProtection="1">
      <alignment horizontal="center" vertical="center"/>
      <protection locked="0"/>
    </xf>
    <xf numFmtId="0" fontId="29" fillId="16" borderId="11" xfId="0" applyFont="1" applyFill="1" applyBorder="1" applyAlignment="1" applyProtection="1">
      <alignment horizontal="center" vertical="center"/>
      <protection locked="0"/>
    </xf>
    <xf numFmtId="0" fontId="17" fillId="10" borderId="25" xfId="0" applyFont="1" applyFill="1" applyBorder="1" applyAlignment="1" applyProtection="1">
      <alignment horizontal="center"/>
    </xf>
    <xf numFmtId="0" fontId="17" fillId="10" borderId="27" xfId="0" applyFont="1" applyFill="1" applyBorder="1" applyAlignment="1" applyProtection="1">
      <alignment horizontal="center"/>
    </xf>
    <xf numFmtId="0" fontId="17" fillId="10" borderId="26" xfId="0" applyFont="1" applyFill="1" applyBorder="1" applyAlignment="1" applyProtection="1">
      <alignment horizontal="center"/>
    </xf>
    <xf numFmtId="0" fontId="13" fillId="0" borderId="14" xfId="0" applyFont="1" applyBorder="1" applyAlignment="1" applyProtection="1">
      <alignment horizontal="center"/>
    </xf>
    <xf numFmtId="0" fontId="13" fillId="0" borderId="15" xfId="0" applyFont="1" applyBorder="1" applyAlignment="1" applyProtection="1">
      <alignment horizontal="center"/>
    </xf>
    <xf numFmtId="0" fontId="13" fillId="0" borderId="16" xfId="0" applyFont="1" applyBorder="1" applyAlignment="1" applyProtection="1">
      <alignment horizontal="center"/>
    </xf>
    <xf numFmtId="0" fontId="13" fillId="0" borderId="12" xfId="0" applyFont="1" applyBorder="1" applyAlignment="1" applyProtection="1">
      <alignment horizontal="center"/>
    </xf>
    <xf numFmtId="0" fontId="13" fillId="0" borderId="4" xfId="0" applyFont="1" applyBorder="1" applyAlignment="1" applyProtection="1">
      <alignment horizontal="center"/>
    </xf>
    <xf numFmtId="0" fontId="13" fillId="0" borderId="13" xfId="0" applyFont="1" applyBorder="1" applyAlignment="1" applyProtection="1">
      <alignment horizontal="center"/>
    </xf>
    <xf numFmtId="0" fontId="13" fillId="10" borderId="14" xfId="0" applyFont="1" applyFill="1" applyBorder="1" applyAlignment="1" applyProtection="1">
      <alignment horizontal="center"/>
    </xf>
    <xf numFmtId="0" fontId="13" fillId="10" borderId="15" xfId="0" applyFont="1" applyFill="1" applyBorder="1" applyAlignment="1" applyProtection="1">
      <alignment horizontal="center"/>
    </xf>
    <xf numFmtId="0" fontId="13" fillId="10" borderId="16" xfId="0" applyFont="1" applyFill="1" applyBorder="1" applyAlignment="1" applyProtection="1">
      <alignment horizontal="center"/>
    </xf>
    <xf numFmtId="0" fontId="17" fillId="16" borderId="14" xfId="0" applyFont="1" applyFill="1" applyBorder="1" applyAlignment="1" applyProtection="1">
      <alignment horizontal="center"/>
    </xf>
    <xf numFmtId="0" fontId="17" fillId="16" borderId="15" xfId="0" applyFont="1" applyFill="1" applyBorder="1" applyAlignment="1" applyProtection="1">
      <alignment horizontal="center"/>
    </xf>
    <xf numFmtId="0" fontId="17" fillId="16" borderId="16" xfId="0" applyFont="1" applyFill="1" applyBorder="1" applyAlignment="1" applyProtection="1">
      <alignment horizontal="center"/>
    </xf>
    <xf numFmtId="0" fontId="17" fillId="0" borderId="14" xfId="0" applyFont="1" applyBorder="1" applyAlignment="1" applyProtection="1">
      <alignment horizontal="center"/>
    </xf>
    <xf numFmtId="0" fontId="17" fillId="0" borderId="15" xfId="0" applyFont="1" applyBorder="1" applyAlignment="1" applyProtection="1">
      <alignment horizontal="center"/>
    </xf>
    <xf numFmtId="0" fontId="17" fillId="0" borderId="16" xfId="0" applyFont="1" applyBorder="1" applyAlignment="1" applyProtection="1">
      <alignment horizontal="center"/>
    </xf>
    <xf numFmtId="2" fontId="19" fillId="0" borderId="14" xfId="0" applyNumberFormat="1" applyFont="1" applyBorder="1" applyAlignment="1" applyProtection="1">
      <alignment horizontal="center"/>
    </xf>
    <xf numFmtId="2" fontId="19" fillId="0" borderId="15" xfId="0" applyNumberFormat="1" applyFont="1" applyBorder="1" applyAlignment="1" applyProtection="1">
      <alignment horizontal="center"/>
    </xf>
    <xf numFmtId="2" fontId="19" fillId="0" borderId="16" xfId="0" applyNumberFormat="1" applyFont="1" applyBorder="1" applyAlignment="1" applyProtection="1">
      <alignment horizontal="center"/>
    </xf>
    <xf numFmtId="0" fontId="19" fillId="0" borderId="21" xfId="0" applyFont="1" applyBorder="1" applyAlignment="1" applyProtection="1">
      <alignment horizontal="right"/>
    </xf>
    <xf numFmtId="0" fontId="19" fillId="0" borderId="22" xfId="0" applyFont="1" applyBorder="1" applyAlignment="1" applyProtection="1">
      <alignment horizontal="right"/>
    </xf>
    <xf numFmtId="0" fontId="17" fillId="10" borderId="25" xfId="0" applyFont="1" applyFill="1" applyBorder="1" applyAlignment="1" applyProtection="1">
      <alignment horizontal="left" vertical="center"/>
    </xf>
    <xf numFmtId="0" fontId="17" fillId="10" borderId="26" xfId="0" applyFont="1" applyFill="1" applyBorder="1" applyAlignment="1" applyProtection="1">
      <alignment horizontal="left" vertical="center"/>
    </xf>
    <xf numFmtId="0" fontId="19" fillId="0" borderId="20" xfId="0" applyFont="1" applyBorder="1" applyAlignment="1" applyProtection="1">
      <alignment horizontal="right"/>
    </xf>
    <xf numFmtId="0" fontId="19" fillId="0" borderId="19" xfId="0" applyFont="1" applyBorder="1" applyAlignment="1" applyProtection="1">
      <alignment horizontal="right"/>
    </xf>
    <xf numFmtId="0" fontId="19" fillId="4" borderId="21" xfId="0" applyFont="1" applyFill="1" applyBorder="1" applyAlignment="1" applyProtection="1">
      <alignment horizontal="right" vertical="center"/>
    </xf>
    <xf numFmtId="0" fontId="19" fillId="4" borderId="22" xfId="0" applyFont="1" applyFill="1" applyBorder="1" applyAlignment="1" applyProtection="1">
      <alignment horizontal="right" vertical="center"/>
    </xf>
    <xf numFmtId="0" fontId="19" fillId="4" borderId="20" xfId="0" applyFont="1" applyFill="1" applyBorder="1" applyAlignment="1" applyProtection="1">
      <alignment horizontal="right" vertical="center"/>
    </xf>
    <xf numFmtId="0" fontId="19" fillId="4" borderId="19" xfId="0" applyFont="1" applyFill="1" applyBorder="1" applyAlignment="1" applyProtection="1">
      <alignment horizontal="right" vertical="center"/>
    </xf>
    <xf numFmtId="0" fontId="19" fillId="4" borderId="80" xfId="0" applyFont="1" applyFill="1" applyBorder="1" applyAlignment="1" applyProtection="1">
      <alignment horizontal="right" vertical="center"/>
    </xf>
    <xf numFmtId="0" fontId="19" fillId="4" borderId="81" xfId="0" applyFont="1" applyFill="1" applyBorder="1" applyAlignment="1" applyProtection="1">
      <alignment horizontal="right" vertical="center"/>
    </xf>
    <xf numFmtId="0" fontId="13" fillId="0" borderId="14" xfId="0" applyFont="1" applyBorder="1" applyAlignment="1">
      <alignment horizontal="center"/>
    </xf>
    <xf numFmtId="0" fontId="13" fillId="0" borderId="15" xfId="0" applyFont="1" applyBorder="1" applyAlignment="1">
      <alignment horizontal="center"/>
    </xf>
    <xf numFmtId="0" fontId="29" fillId="15" borderId="14" xfId="0" applyFont="1" applyFill="1" applyBorder="1" applyAlignment="1">
      <alignment horizontal="center"/>
    </xf>
    <xf numFmtId="0" fontId="29" fillId="15" borderId="15" xfId="0" applyFont="1" applyFill="1" applyBorder="1" applyAlignment="1">
      <alignment horizontal="center"/>
    </xf>
    <xf numFmtId="0" fontId="29" fillId="15" borderId="16" xfId="0" applyFont="1" applyFill="1" applyBorder="1" applyAlignment="1">
      <alignment horizontal="center"/>
    </xf>
    <xf numFmtId="0" fontId="27" fillId="15" borderId="0" xfId="0" applyFont="1" applyFill="1" applyAlignment="1">
      <alignment horizontal="center"/>
    </xf>
    <xf numFmtId="0" fontId="28" fillId="4" borderId="14" xfId="0" applyFont="1" applyFill="1" applyBorder="1" applyAlignment="1">
      <alignment horizontal="center" vertical="center"/>
    </xf>
    <xf numFmtId="0" fontId="28" fillId="4" borderId="15" xfId="0" applyFont="1" applyFill="1" applyBorder="1" applyAlignment="1">
      <alignment horizontal="center" vertical="center"/>
    </xf>
    <xf numFmtId="0" fontId="28" fillId="4" borderId="16" xfId="0" applyFont="1" applyFill="1" applyBorder="1" applyAlignment="1">
      <alignment horizontal="center" vertical="center"/>
    </xf>
    <xf numFmtId="38" fontId="26" fillId="0" borderId="14" xfId="0" applyNumberFormat="1" applyFont="1" applyBorder="1" applyAlignment="1">
      <alignment horizontal="center"/>
    </xf>
    <xf numFmtId="38" fontId="26" fillId="0" borderId="15" xfId="0" applyNumberFormat="1" applyFont="1" applyBorder="1" applyAlignment="1">
      <alignment horizontal="center"/>
    </xf>
    <xf numFmtId="38" fontId="26" fillId="0" borderId="16" xfId="0" applyNumberFormat="1" applyFont="1" applyBorder="1" applyAlignment="1">
      <alignment horizontal="center"/>
    </xf>
    <xf numFmtId="0" fontId="17" fillId="4" borderId="0" xfId="0" applyFont="1" applyFill="1" applyBorder="1" applyAlignment="1" applyProtection="1">
      <alignment horizontal="center" vertical="center"/>
    </xf>
    <xf numFmtId="0" fontId="17" fillId="4" borderId="8" xfId="0" applyFont="1" applyFill="1" applyBorder="1" applyAlignment="1" applyProtection="1">
      <alignment horizontal="center" vertical="center"/>
    </xf>
    <xf numFmtId="0" fontId="0" fillId="0" borderId="0" xfId="0"/>
    <xf numFmtId="0" fontId="17" fillId="4" borderId="0" xfId="0" applyFont="1" applyFill="1" applyBorder="1" applyAlignment="1">
      <alignment horizontal="center" vertical="center"/>
    </xf>
    <xf numFmtId="0" fontId="17" fillId="4" borderId="8" xfId="0" applyFont="1" applyFill="1" applyBorder="1" applyAlignment="1">
      <alignment horizontal="center" vertical="center"/>
    </xf>
    <xf numFmtId="0" fontId="17" fillId="0" borderId="14" xfId="0" applyFont="1" applyBorder="1" applyAlignment="1">
      <alignment horizontal="center"/>
    </xf>
    <xf numFmtId="0" fontId="17" fillId="0" borderId="15" xfId="0" applyFont="1" applyBorder="1" applyAlignment="1">
      <alignment horizontal="center"/>
    </xf>
    <xf numFmtId="0" fontId="35" fillId="9" borderId="14" xfId="0" applyFont="1" applyFill="1" applyBorder="1" applyAlignment="1" applyProtection="1">
      <alignment horizontal="center"/>
      <protection locked="0"/>
    </xf>
    <xf numFmtId="0" fontId="35" fillId="9" borderId="15" xfId="0" applyFont="1" applyFill="1" applyBorder="1" applyAlignment="1" applyProtection="1">
      <alignment horizontal="center"/>
      <protection locked="0"/>
    </xf>
    <xf numFmtId="0" fontId="35" fillId="9" borderId="16" xfId="0" applyFont="1" applyFill="1" applyBorder="1" applyAlignment="1" applyProtection="1">
      <alignment horizontal="center"/>
      <protection locked="0"/>
    </xf>
    <xf numFmtId="0" fontId="13" fillId="0" borderId="3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12" xfId="0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</cellXfs>
  <cellStyles count="3">
    <cellStyle name="Moneda" xfId="2" builtinId="4"/>
    <cellStyle name="Normal" xfId="0" builtinId="0"/>
    <cellStyle name="Porcentaje" xfId="1" builtinId="5"/>
  </cellStyles>
  <dxfs count="20">
    <dxf>
      <font>
        <color theme="0"/>
      </font>
      <fill>
        <patternFill patternType="solid">
          <fgColor theme="0"/>
          <bgColor theme="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color theme="0"/>
      </font>
      <fill>
        <patternFill>
          <fgColor theme="0"/>
          <bgColor theme="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color theme="0"/>
      </font>
      <fill>
        <patternFill>
          <fgColor theme="0"/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REVENUE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7.4695194726117103E-2"/>
          <c:y val="0.14856481481481484"/>
          <c:w val="0.89662729658792661"/>
          <c:h val="0.72088764946049255"/>
        </c:manualLayout>
      </c:layout>
      <c:lineChart>
        <c:grouping val="standard"/>
        <c:varyColors val="0"/>
        <c:ser>
          <c:idx val="0"/>
          <c:order val="0"/>
          <c:tx>
            <c:strRef>
              <c:f>'Income Statement_P&amp;L'!$C$5</c:f>
              <c:strCache>
                <c:ptCount val="1"/>
                <c:pt idx="0">
                  <c:v>REVENUE</c:v>
                </c:pt>
              </c:strCache>
            </c:strRef>
          </c:tx>
          <c:spPr>
            <a:ln w="25400" cap="flat" cmpd="sng" algn="ctr">
              <a:solidFill>
                <a:schemeClr val="accent3"/>
              </a:solidFill>
              <a:prstDash val="solid"/>
            </a:ln>
            <a:effectLst/>
          </c:spPr>
          <c:marker>
            <c:symbol val="none"/>
          </c:marker>
          <c:dLbls>
            <c:spPr>
              <a:solidFill>
                <a:sysClr val="window" lastClr="FFFFFF"/>
              </a:solidFill>
              <a:ln>
                <a:solidFill>
                  <a:schemeClr val="bg1"/>
                </a:solidFill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accent3">
                        <a:lumMod val="75000"/>
                      </a:schemeClr>
                    </a:solidFill>
                  </a:defRPr>
                </a:pPr>
                <a:endParaRPr lang="es-E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trendline>
            <c:trendlineType val="linear"/>
            <c:dispRSqr val="0"/>
            <c:dispEq val="0"/>
          </c:trendline>
          <c:cat>
            <c:numRef>
              <c:f>'Income Statement_P&amp;L'!$D$3:$K$3</c:f>
              <c:numCache>
                <c:formatCode>General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'Income Statement_P&amp;L'!$D$5:$K$5</c:f>
              <c:numCache>
                <c:formatCode>General</c:formatCode>
                <c:ptCount val="8"/>
                <c:pt idx="5" formatCode="_-[$$-409]* #,##0.00_ ;_-[$$-409]* \-#,##0.00\ ;_-[$$-409]* &quot;-&quot;??_ ;_-@_ ">
                  <c:v>8</c:v>
                </c:pt>
                <c:pt idx="6" formatCode="_-[$$-409]* #,##0.00_ ;_-[$$-409]* \-#,##0.00\ ;_-[$$-409]* &quot;-&quot;??_ ;_-@_ ">
                  <c:v>10</c:v>
                </c:pt>
                <c:pt idx="7" formatCode="_-[$$-409]* #,##0.00_ ;_-[$$-409]* \-#,##0.00\ ;_-[$$-409]* &quot;-&quot;??_ ;_-@_ ">
                  <c:v>17.600000000000001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71E4-8543-8502-54F2A264AD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507648"/>
        <c:axId val="148521728"/>
      </c:lineChart>
      <c:catAx>
        <c:axId val="148507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solidFill>
            <a:sysClr val="window" lastClr="FFFFFF"/>
          </a:solidFill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6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8521728"/>
        <c:crosses val="autoZero"/>
        <c:auto val="1"/>
        <c:lblAlgn val="ctr"/>
        <c:lblOffset val="100"/>
        <c:noMultiLvlLbl val="0"/>
      </c:catAx>
      <c:valAx>
        <c:axId val="1485217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6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8507648"/>
        <c:crosses val="autoZero"/>
        <c:crossBetween val="between"/>
      </c:valAx>
      <c:spPr>
        <a:solidFill>
          <a:schemeClr val="lt1"/>
        </a:solidFill>
        <a:ln w="25400" cap="flat" cmpd="sng" algn="ctr">
          <a:solidFill>
            <a:schemeClr val="bg1"/>
          </a:solidFill>
          <a:prstDash val="solid"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796691964269904E-2"/>
          <c:y val="5.1400554097404488E-2"/>
          <c:w val="0.74962279923632635"/>
          <c:h val="0.8326195683872849"/>
        </c:manualLayout>
      </c:layout>
      <c:lineChart>
        <c:grouping val="standard"/>
        <c:varyColors val="0"/>
        <c:ser>
          <c:idx val="0"/>
          <c:order val="0"/>
          <c:tx>
            <c:strRef>
              <c:f>Balance!$C$22</c:f>
              <c:strCache>
                <c:ptCount val="1"/>
                <c:pt idx="0">
                  <c:v>Liquidity ratio </c:v>
                </c:pt>
              </c:strCache>
            </c:strRef>
          </c:tx>
          <c:spPr>
            <a:ln>
              <a:solidFill>
                <a:srgbClr val="92D050"/>
              </a:solidFill>
            </a:ln>
          </c:spPr>
          <c:marker>
            <c:symbol val="none"/>
          </c:marker>
          <c:cat>
            <c:numRef>
              <c:f>Balance!$D$4:$J$4</c:f>
              <c:numCache>
                <c:formatCode>0</c:formatCod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 formatCode="General">
                  <c:v>2022</c:v>
                </c:pt>
              </c:numCache>
            </c:numRef>
          </c:cat>
          <c:val>
            <c:numRef>
              <c:f>Balance!$D$22:$J$22</c:f>
              <c:numCache>
                <c:formatCode>0.00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FCEF-0C4E-A21D-74F5F034FB49}"/>
            </c:ext>
          </c:extLst>
        </c:ser>
        <c:ser>
          <c:idx val="1"/>
          <c:order val="1"/>
          <c:tx>
            <c:strRef>
              <c:f>Balance!#REF!</c:f>
              <c:strCache>
                <c:ptCount val="1"/>
                <c:pt idx="0">
                  <c:v>#REF!</c:v>
                </c:pt>
              </c:strCache>
            </c:strRef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cat>
            <c:numRef>
              <c:f>Balance!$D$4:$J$4</c:f>
              <c:numCache>
                <c:formatCode>0</c:formatCod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 formatCode="General">
                  <c:v>2022</c:v>
                </c:pt>
              </c:numCache>
            </c:numRef>
          </c:cat>
          <c:val>
            <c:numRef>
              <c:f>Balance!#REF!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FCEF-0C4E-A21D-74F5F034FB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515648"/>
        <c:axId val="149517440"/>
      </c:lineChart>
      <c:catAx>
        <c:axId val="1495156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517440"/>
        <c:crosses val="autoZero"/>
        <c:auto val="1"/>
        <c:lblAlgn val="ctr"/>
        <c:lblOffset val="100"/>
        <c:noMultiLvlLbl val="0"/>
      </c:catAx>
      <c:valAx>
        <c:axId val="149517440"/>
        <c:scaling>
          <c:orientation val="minMax"/>
        </c:scaling>
        <c:delete val="0"/>
        <c:axPos val="l"/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5156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overlay val="0"/>
    </c:legend>
    <c:plotVisOnly val="1"/>
    <c:dispBlanksAs val="gap"/>
    <c:showDLblsOverMax val="0"/>
  </c:chart>
  <c:spPr>
    <a:ln>
      <a:solidFill>
        <a:schemeClr val="bg1"/>
      </a:solidFill>
    </a:ln>
  </c:spPr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177260392528017"/>
          <c:y val="6.9444444444444503E-2"/>
          <c:w val="0.85741075508858922"/>
          <c:h val="0.79224482356372328"/>
        </c:manualLayout>
      </c:layout>
      <c:barChart>
        <c:barDir val="col"/>
        <c:grouping val="clustered"/>
        <c:varyColors val="0"/>
        <c:ser>
          <c:idx val="1"/>
          <c:order val="0"/>
          <c:tx>
            <c:v>REVENUE %</c:v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Balance!$E$26:$K$26</c:f>
              <c:numCache>
                <c:formatCode>0</c:formatCod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numCache>
            </c:numRef>
          </c:cat>
          <c:val>
            <c:numRef>
              <c:f>'Income Statement_P&amp;L'!$E$6:$K$6</c:f>
              <c:numCache>
                <c:formatCode>0%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0.25</c:v>
                </c:pt>
                <c:pt idx="6">
                  <c:v>0.76000000000000012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78-1E4C-8BB8-9B62B447432B}"/>
            </c:ext>
          </c:extLst>
        </c:ser>
        <c:ser>
          <c:idx val="0"/>
          <c:order val="1"/>
          <c:tx>
            <c:v>RECEIVABLES %</c:v>
          </c:tx>
          <c:spPr>
            <a:solidFill>
              <a:schemeClr val="accent3">
                <a:lumMod val="75000"/>
              </a:schemeClr>
            </a:solidFill>
            <a:ln>
              <a:solidFill>
                <a:schemeClr val="accent3">
                  <a:lumMod val="75000"/>
                </a:schemeClr>
              </a:solidFill>
            </a:ln>
            <a:effectLst/>
          </c:spPr>
          <c:invertIfNegative val="0"/>
          <c:cat>
            <c:numRef>
              <c:f>Balance!$E$26:$K$26</c:f>
              <c:numCache>
                <c:formatCode>0</c:formatCod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numCache>
            </c:numRef>
          </c:cat>
          <c:val>
            <c:numRef>
              <c:f>Balance!$E$32:$K$32</c:f>
              <c:numCache>
                <c:formatCode>0.00</c:formatCode>
                <c:ptCount val="7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78-1E4C-8BB8-9B62B447432B}"/>
            </c:ext>
          </c:extLst>
        </c:ser>
        <c:ser>
          <c:idx val="2"/>
          <c:order val="2"/>
          <c:tx>
            <c:v>INVENTORIES %</c:v>
          </c:tx>
          <c:spPr>
            <a:solidFill>
              <a:schemeClr val="accent3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Balance!$E$26:$K$26</c:f>
              <c:numCache>
                <c:formatCode>0</c:formatCod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numCache>
            </c:numRef>
          </c:cat>
          <c:val>
            <c:numRef>
              <c:f>Balance!$E$28:$K$28</c:f>
              <c:numCache>
                <c:formatCode>0.00</c:formatCode>
                <c:ptCount val="7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78-1E4C-8BB8-9B62B447432B}"/>
            </c:ext>
          </c:extLst>
        </c:ser>
        <c:ser>
          <c:idx val="3"/>
          <c:order val="3"/>
          <c:tx>
            <c:strRef>
              <c:f>Balance!$C$40</c:f>
              <c:strCache>
                <c:ptCount val="1"/>
                <c:pt idx="0">
                  <c:v>Net debt/FCF</c:v>
                </c:pt>
              </c:strCache>
            </c:strRef>
          </c:tx>
          <c:spPr>
            <a:solidFill>
              <a:schemeClr val="accent3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numRef>
              <c:f>Balance!$E$26:$K$26</c:f>
              <c:numCache>
                <c:formatCode>0</c:formatCod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numCache>
            </c:numRef>
          </c:cat>
          <c:val>
            <c:numRef>
              <c:f>Balance!$E$40:$K$40</c:f>
              <c:numCache>
                <c:formatCode>0.00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-0.31250000000000006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478-1E4C-8BB8-9B62B44743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49707392"/>
        <c:axId val="149721472"/>
      </c:barChart>
      <c:catAx>
        <c:axId val="14970739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6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9721472"/>
        <c:crosses val="autoZero"/>
        <c:auto val="1"/>
        <c:lblAlgn val="ctr"/>
        <c:lblOffset val="100"/>
        <c:noMultiLvlLbl val="0"/>
      </c:catAx>
      <c:valAx>
        <c:axId val="149721472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6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9707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 Cash Flow'!$C$12</c:f>
              <c:strCache>
                <c:ptCount val="1"/>
                <c:pt idx="0">
                  <c:v>Free cash flow</c:v>
                </c:pt>
              </c:strCache>
            </c:strRef>
          </c:tx>
          <c:marker>
            <c:symbol val="none"/>
          </c:marker>
          <c:cat>
            <c:numRef>
              <c:f>' Cash Flow'!$D$5:$J$5</c:f>
              <c:numCache>
                <c:formatCode>0</c:formatCod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 formatCode="General">
                  <c:v>2022</c:v>
                </c:pt>
              </c:numCache>
            </c:numRef>
          </c:cat>
          <c:val>
            <c:numRef>
              <c:f>' Cash Flow'!$D$12:$J$12</c:f>
              <c:numCache>
                <c:formatCode>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4" formatCode="0.000">
                  <c:v>-38.616</c:v>
                </c:pt>
                <c:pt idx="5" formatCode="0.000">
                  <c:v>-52.133000000000003</c:v>
                </c:pt>
                <c:pt idx="6" formatCode="0.000">
                  <c:v>3.1999999999999993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1EBD-1E40-8B96-CBA68589AB6C}"/>
            </c:ext>
          </c:extLst>
        </c:ser>
        <c:ser>
          <c:idx val="1"/>
          <c:order val="1"/>
          <c:tx>
            <c:strRef>
              <c:f>' Cash Flow'!#REF!</c:f>
              <c:strCache>
                <c:ptCount val="1"/>
                <c:pt idx="0">
                  <c:v>#REF!</c:v>
                </c:pt>
              </c:strCache>
            </c:strRef>
          </c:tx>
          <c:marker>
            <c:symbol val="none"/>
          </c:marker>
          <c:cat>
            <c:numRef>
              <c:f>' Cash Flow'!$D$5:$J$5</c:f>
              <c:numCache>
                <c:formatCode>0</c:formatCod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 formatCode="General">
                  <c:v>2022</c:v>
                </c:pt>
              </c:numCache>
            </c:numRef>
          </c:cat>
          <c:val>
            <c:numRef>
              <c:f>' Cash Flow'!#REF!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1EBD-1E40-8B96-CBA68589AB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656320"/>
        <c:axId val="149657856"/>
      </c:lineChart>
      <c:catAx>
        <c:axId val="14965632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657856"/>
        <c:crosses val="autoZero"/>
        <c:auto val="1"/>
        <c:lblAlgn val="ctr"/>
        <c:lblOffset val="100"/>
        <c:noMultiLvlLbl val="0"/>
      </c:catAx>
      <c:valAx>
        <c:axId val="149657856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6563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ln>
      <a:solidFill>
        <a:schemeClr val="bg1"/>
      </a:solidFill>
    </a:ln>
  </c:spPr>
  <c:printSettings>
    <c:headerFooter/>
    <c:pageMargins b="0.75000000000000433" l="0.70000000000000062" r="0.70000000000000062" t="0.75000000000000433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cked"/>
        <c:varyColors val="0"/>
        <c:ser>
          <c:idx val="0"/>
          <c:order val="0"/>
          <c:marker>
            <c:symbol val="none"/>
          </c:marker>
          <c:val>
            <c:numRef>
              <c:f>Valuation!$J$14:$O$14</c:f>
              <c:numCache>
                <c:formatCode>_-* #,##0.00\ [$€-C0A]_-;\-* #,##0.00\ [$€-C0A]_-;_-* "-"??\ [$€-C0A]_-;_-@_-</c:formatCode>
                <c:ptCount val="6"/>
                <c:pt idx="0" formatCode="_-[$$-409]* #,##0.000_ ;_-[$$-409]* \-#,##0.000\ ;_-[$$-409]* &quot;-&quot;??_ ;_-@_ ">
                  <c:v>3.2499999999999991</c:v>
                </c:pt>
                <c:pt idx="1">
                  <c:v>5.6080000000000014</c:v>
                </c:pt>
                <c:pt idx="2">
                  <c:v>12.776864468864469</c:v>
                </c:pt>
                <c:pt idx="3">
                  <c:v>15.479288814774971</c:v>
                </c:pt>
                <c:pt idx="4">
                  <c:v>17.970772544905408</c:v>
                </c:pt>
                <c:pt idx="5">
                  <c:v>21.907131042498641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56EF-D84A-A0EA-A3BA972B58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942464"/>
        <c:axId val="150944000"/>
      </c:lineChart>
      <c:catAx>
        <c:axId val="15094246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150944000"/>
        <c:crosses val="autoZero"/>
        <c:auto val="1"/>
        <c:lblAlgn val="ctr"/>
        <c:lblOffset val="100"/>
        <c:noMultiLvlLbl val="0"/>
      </c:catAx>
      <c:valAx>
        <c:axId val="150944000"/>
        <c:scaling>
          <c:orientation val="minMax"/>
        </c:scaling>
        <c:delete val="0"/>
        <c:axPos val="l"/>
        <c:numFmt formatCode="_-[$$-409]* #,##0.000_ ;_-[$$-409]* \-#,##0.000\ ;_-[$$-409]* &quot;-&quot;??_ ;_-@_ " sourceLinked="1"/>
        <c:majorTickMark val="out"/>
        <c:minorTickMark val="none"/>
        <c:tickLblPos val="nextTo"/>
        <c:crossAx val="150942464"/>
        <c:crosses val="autoZero"/>
        <c:crossBetween val="between"/>
      </c:valAx>
    </c:plotArea>
    <c:legend>
      <c:legendPos val="b"/>
      <c:overlay val="0"/>
    </c:legend>
    <c:plotVisOnly val="1"/>
    <c:dispBlanksAs val="zero"/>
    <c:showDLblsOverMax val="0"/>
  </c:chart>
  <c:spPr>
    <a:ln>
      <a:solidFill>
        <a:schemeClr val="bg1"/>
      </a:solidFill>
    </a:ln>
  </c:spPr>
  <c:printSettings>
    <c:headerFooter/>
    <c:pageMargins b="0.75000000000001033" l="0.70000000000000062" r="0.70000000000000062" t="0.75000000000001033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Valuation!$I$23</c:f>
              <c:strCache>
                <c:ptCount val="1"/>
                <c:pt idx="0">
                  <c:v>PER</c:v>
                </c:pt>
              </c:strCache>
            </c:strRef>
          </c:tx>
          <c:marker>
            <c:symbol val="none"/>
          </c:marker>
          <c:cat>
            <c:numRef>
              <c:f>Valuation!$J$22:$O$22</c:f>
              <c:numCache>
                <c:formatCode>0</c:formatCode>
                <c:ptCount val="6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</c:numCache>
            </c:numRef>
          </c:cat>
          <c:val>
            <c:numRef>
              <c:f>Valuation!$J$23:$O$23</c:f>
              <c:numCache>
                <c:formatCode>0.0</c:formatCode>
                <c:ptCount val="6"/>
                <c:pt idx="0">
                  <c:v>42.5</c:v>
                </c:pt>
                <c:pt idx="1">
                  <c:v>17.567364142706609</c:v>
                </c:pt>
                <c:pt idx="2">
                  <c:v>8.9282630051860821</c:v>
                </c:pt>
                <c:pt idx="3">
                  <c:v>7.3200454056055388</c:v>
                </c:pt>
                <c:pt idx="4">
                  <c:v>6.2821543404651532</c:v>
                </c:pt>
                <c:pt idx="5">
                  <c:v>5.1002195860681683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2135-F949-814F-A678E72F6BE4}"/>
            </c:ext>
          </c:extLst>
        </c:ser>
        <c:ser>
          <c:idx val="1"/>
          <c:order val="1"/>
          <c:tx>
            <c:strRef>
              <c:f>Valuation!$I$24</c:f>
              <c:strCache>
                <c:ptCount val="1"/>
                <c:pt idx="0">
                  <c:v>P/FCF</c:v>
                </c:pt>
              </c:strCache>
            </c:strRef>
          </c:tx>
          <c:marker>
            <c:symbol val="none"/>
          </c:marker>
          <c:cat>
            <c:numRef>
              <c:f>Valuation!$J$22:$O$22</c:f>
              <c:numCache>
                <c:formatCode>0</c:formatCode>
                <c:ptCount val="6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</c:numCache>
            </c:numRef>
          </c:cat>
          <c:val>
            <c:numRef>
              <c:f>Valuation!$J$24:$O$24</c:f>
              <c:numCache>
                <c:formatCode>0.0</c:formatCode>
                <c:ptCount val="6"/>
                <c:pt idx="0">
                  <c:v>37.187500000000007</c:v>
                </c:pt>
                <c:pt idx="1">
                  <c:v>21.440382142200988</c:v>
                </c:pt>
                <c:pt idx="2">
                  <c:v>9.1594946796043697</c:v>
                </c:pt>
                <c:pt idx="3">
                  <c:v>7.4620479240237856</c:v>
                </c:pt>
                <c:pt idx="4">
                  <c:v>6.3374284860851979</c:v>
                </c:pt>
                <c:pt idx="5">
                  <c:v>5.0792397262184918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2135-F949-814F-A678E72F6BE4}"/>
            </c:ext>
          </c:extLst>
        </c:ser>
        <c:ser>
          <c:idx val="2"/>
          <c:order val="2"/>
          <c:tx>
            <c:strRef>
              <c:f>Valuation!$I$25</c:f>
              <c:strCache>
                <c:ptCount val="1"/>
                <c:pt idx="0">
                  <c:v>EV/EBIT</c:v>
                </c:pt>
              </c:strCache>
            </c:strRef>
          </c:tx>
          <c:marker>
            <c:symbol val="none"/>
          </c:marker>
          <c:cat>
            <c:numRef>
              <c:f>Valuation!$J$22:$O$22</c:f>
              <c:numCache>
                <c:formatCode>0</c:formatCode>
                <c:ptCount val="6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</c:numCache>
            </c:numRef>
          </c:cat>
          <c:val>
            <c:numRef>
              <c:f>Valuation!$J$25:$O$25</c:f>
              <c:numCache>
                <c:formatCode>0.0</c:formatCode>
                <c:ptCount val="6"/>
                <c:pt idx="0">
                  <c:v>27.674418604651162</c:v>
                </c:pt>
                <c:pt idx="1">
                  <c:v>11.221153846153847</c:v>
                </c:pt>
                <c:pt idx="2">
                  <c:v>5.7533897681266097</c:v>
                </c:pt>
                <c:pt idx="3">
                  <c:v>4.7238809764643399</c:v>
                </c:pt>
                <c:pt idx="4">
                  <c:v>4.058978070576857</c:v>
                </c:pt>
                <c:pt idx="5">
                  <c:v>3.2986198903793955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2135-F949-814F-A678E72F6BE4}"/>
            </c:ext>
          </c:extLst>
        </c:ser>
        <c:ser>
          <c:idx val="3"/>
          <c:order val="3"/>
          <c:tx>
            <c:strRef>
              <c:f>Valuation!$I$26</c:f>
              <c:strCache>
                <c:ptCount val="1"/>
                <c:pt idx="0">
                  <c:v>EV/EBITDA</c:v>
                </c:pt>
              </c:strCache>
            </c:strRef>
          </c:tx>
          <c:marker>
            <c:symbol val="none"/>
          </c:marker>
          <c:cat>
            <c:numRef>
              <c:f>Valuation!$J$22:$O$22</c:f>
              <c:numCache>
                <c:formatCode>0</c:formatCode>
                <c:ptCount val="6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</c:numCache>
            </c:numRef>
          </c:cat>
          <c:val>
            <c:numRef>
              <c:f>Valuation!$J$26:$O$26</c:f>
              <c:numCache>
                <c:formatCode>0.0</c:formatCode>
                <c:ptCount val="6"/>
                <c:pt idx="0">
                  <c:v>17.761194029850749</c:v>
                </c:pt>
                <c:pt idx="1">
                  <c:v>9.9743589743589745</c:v>
                </c:pt>
                <c:pt idx="2">
                  <c:v>5.1038135039832841</c:v>
                </c:pt>
                <c:pt idx="3">
                  <c:v>4.1905395758957855</c:v>
                </c:pt>
                <c:pt idx="4">
                  <c:v>3.6007063529310828</c:v>
                </c:pt>
                <c:pt idx="5">
                  <c:v>2.926195064046238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2135-F949-814F-A678E72F6B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970752"/>
        <c:axId val="150972288"/>
      </c:lineChart>
      <c:catAx>
        <c:axId val="15097075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150972288"/>
        <c:crosses val="autoZero"/>
        <c:auto val="1"/>
        <c:lblAlgn val="ctr"/>
        <c:lblOffset val="100"/>
        <c:noMultiLvlLbl val="0"/>
      </c:catAx>
      <c:valAx>
        <c:axId val="150972288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crossAx val="1509707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>
      <a:solidFill>
        <a:schemeClr val="bg1"/>
      </a:solidFill>
    </a:ln>
  </c:spPr>
  <c:printSettings>
    <c:headerFooter/>
    <c:pageMargins b="0.75000000000000966" l="0.70000000000000062" r="0.70000000000000062" t="0.75000000000000966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baseline="0"/>
              <a:t>ORDER INTAKE</a:t>
            </a: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'6. Ingeniería'!$C$10</c:f>
              <c:strCache>
                <c:ptCount val="1"/>
                <c:pt idx="0">
                  <c:v>Order Intake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60000"/>
                  <a:lumOff val="40000"/>
                </a:schemeClr>
              </a:solidFill>
            </a:ln>
            <a:effectLst/>
          </c:spPr>
          <c:invertIfNegative val="0"/>
          <c:cat>
            <c:numRef>
              <c:f>'6. Ingeniería'!$D$2:$K$2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'6. Ingeniería'!$D$10:$K$10</c:f>
              <c:numCache>
                <c:formatCode>0.00</c:formatCode>
                <c:ptCount val="8"/>
              </c:numCache>
            </c:numRef>
          </c:val>
          <c:extLst>
            <c:ext xmlns:c16="http://schemas.microsoft.com/office/drawing/2014/chart" uri="{C3380CC4-5D6E-409C-BE32-E72D297353CC}">
              <c16:uniqueId val="{00000000-7337-1A4F-875C-DECB131F80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0756736"/>
        <c:axId val="150774912"/>
      </c:barChart>
      <c:lineChart>
        <c:grouping val="standard"/>
        <c:varyColors val="0"/>
        <c:ser>
          <c:idx val="1"/>
          <c:order val="1"/>
          <c:tx>
            <c:strRef>
              <c:f>'6. Ingeniería'!$O$2</c:f>
              <c:strCache>
                <c:ptCount val="1"/>
                <c:pt idx="0">
                  <c:v>PROMEDIO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('6. Ingeniería'!$P$10,'6. Ingeniería'!$R$8,'6. Ingeniería'!$R$9,'6. Ingeniería'!$R$10,'6. Ingeniería'!$R$11,'6. Ingeniería'!$R$12,'6. Ingeniería'!$R$13,'6. Ingeniería'!$R$14)</c:f>
              <c:numCache>
                <c:formatCode>General</c:formatCode>
                <c:ptCount val="8"/>
                <c:pt idx="0" formatCode="0.0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337-1A4F-875C-DECB131F80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756736"/>
        <c:axId val="150774912"/>
      </c:lineChart>
      <c:catAx>
        <c:axId val="150756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3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50774912"/>
        <c:crosses val="autoZero"/>
        <c:auto val="1"/>
        <c:lblAlgn val="ctr"/>
        <c:lblOffset val="100"/>
        <c:noMultiLvlLbl val="0"/>
      </c:catAx>
      <c:valAx>
        <c:axId val="150774912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3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50756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REVENUES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'6. Ingeniería'!$C$8</c:f>
              <c:strCache>
                <c:ptCount val="1"/>
                <c:pt idx="0">
                  <c:v>Revenues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'6. Ingeniería'!$D$2:$K$2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'6. Ingeniería'!$D$8:$K$8</c:f>
              <c:numCache>
                <c:formatCode>0.00</c:formatCode>
                <c:ptCount val="8"/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7A7A-0243-A12B-43E29057D1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807296"/>
        <c:axId val="150808832"/>
      </c:lineChart>
      <c:catAx>
        <c:axId val="150807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3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50808832"/>
        <c:crosses val="autoZero"/>
        <c:auto val="1"/>
        <c:lblAlgn val="ctr"/>
        <c:lblOffset val="100"/>
        <c:noMultiLvlLbl val="0"/>
      </c:catAx>
      <c:valAx>
        <c:axId val="150808832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3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508072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tint val="50000"/>
                      <a:satMod val="300000"/>
                    </a:schemeClr>
                  </a:gs>
                  <a:gs pos="35000">
                    <a:schemeClr val="accent1">
                      <a:tint val="37000"/>
                      <a:satMod val="300000"/>
                    </a:schemeClr>
                  </a:gs>
                  <a:gs pos="100000">
                    <a:schemeClr val="accent1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0-3681-0F42-AD42-42BE99EB9B79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tint val="50000"/>
                      <a:satMod val="300000"/>
                    </a:schemeClr>
                  </a:gs>
                  <a:gs pos="35000">
                    <a:schemeClr val="accent2">
                      <a:tint val="37000"/>
                      <a:satMod val="300000"/>
                    </a:schemeClr>
                  </a:gs>
                  <a:gs pos="100000">
                    <a:schemeClr val="accent2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2"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3681-0F42-AD42-42BE99EB9B79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tint val="50000"/>
                      <a:satMod val="300000"/>
                    </a:schemeClr>
                  </a:gs>
                  <a:gs pos="35000">
                    <a:schemeClr val="accent3">
                      <a:tint val="37000"/>
                      <a:satMod val="300000"/>
                    </a:schemeClr>
                  </a:gs>
                  <a:gs pos="100000">
                    <a:schemeClr val="accent3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3"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3681-0F42-AD42-42BE99EB9B79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tint val="50000"/>
                      <a:satMod val="300000"/>
                    </a:schemeClr>
                  </a:gs>
                  <a:gs pos="35000">
                    <a:schemeClr val="accent4">
                      <a:tint val="37000"/>
                      <a:satMod val="300000"/>
                    </a:schemeClr>
                  </a:gs>
                  <a:gs pos="100000">
                    <a:schemeClr val="accent4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4"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3681-0F42-AD42-42BE99EB9B7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1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'6. Ingeniería'!$C$3:$C$6</c:f>
              <c:strCache>
                <c:ptCount val="4"/>
                <c:pt idx="0">
                  <c:v>EUROPE</c:v>
                </c:pt>
                <c:pt idx="1">
                  <c:v>LATAM</c:v>
                </c:pt>
                <c:pt idx="2">
                  <c:v>MIDDLE EAST</c:v>
                </c:pt>
                <c:pt idx="3">
                  <c:v>RoW</c:v>
                </c:pt>
              </c:strCache>
            </c:strRef>
          </c:cat>
          <c:val>
            <c:numRef>
              <c:f>'6. Ingeniería'!$K$3:$K$6</c:f>
              <c:numCache>
                <c:formatCode>0%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4-3681-0F42-AD42-42BE99EB9B7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'Income Statement_P&amp;L'!$C$13</c:f>
              <c:strCache>
                <c:ptCount val="1"/>
                <c:pt idx="0">
                  <c:v>EBIT growth %</c:v>
                </c:pt>
              </c:strCache>
            </c:strRef>
          </c:tx>
          <c:spPr>
            <a:ln w="19050">
              <a:solidFill>
                <a:srgbClr val="00B0F0"/>
              </a:solidFill>
            </a:ln>
          </c:spPr>
          <c:marker>
            <c:symbol val="none"/>
          </c:marker>
          <c:cat>
            <c:numRef>
              <c:f>'Income Statement_P&amp;L'!$D$3:$K$3</c:f>
              <c:numCache>
                <c:formatCode>General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'Income Statement_P&amp;L'!$D$13:$K$13</c:f>
              <c:numCache>
                <c:formatCode>0%</c:formatCode>
                <c:ptCount val="8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4C04-EB42-BDFE-D95A5EFFE777}"/>
            </c:ext>
          </c:extLst>
        </c:ser>
        <c:ser>
          <c:idx val="2"/>
          <c:order val="1"/>
          <c:tx>
            <c:strRef>
              <c:f>'Income Statement_P&amp;L'!$C$6</c:f>
              <c:strCache>
                <c:ptCount val="1"/>
                <c:pt idx="0">
                  <c:v>Sales Growth %</c:v>
                </c:pt>
              </c:strCache>
            </c:strRef>
          </c:tx>
          <c:spPr>
            <a:ln w="19050"/>
          </c:spPr>
          <c:marker>
            <c:symbol val="none"/>
          </c:marker>
          <c:cat>
            <c:numRef>
              <c:f>'Income Statement_P&amp;L'!$D$3:$K$3</c:f>
              <c:numCache>
                <c:formatCode>General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'Income Statement_P&amp;L'!$D$6:$K$6</c:f>
              <c:numCache>
                <c:formatCode>0%</c:formatCode>
                <c:ptCount val="8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0.25</c:v>
                </c:pt>
                <c:pt idx="7">
                  <c:v>0.76000000000000012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4C04-EB42-BDFE-D95A5EFFE7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554496"/>
        <c:axId val="148556032"/>
      </c:lineChart>
      <c:catAx>
        <c:axId val="148554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8556032"/>
        <c:crosses val="autoZero"/>
        <c:auto val="1"/>
        <c:lblAlgn val="ctr"/>
        <c:lblOffset val="100"/>
        <c:noMultiLvlLbl val="0"/>
      </c:catAx>
      <c:valAx>
        <c:axId val="1485560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855449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>
      <a:solidFill>
        <a:schemeClr val="bg1"/>
      </a:solidFill>
    </a:ln>
  </c:spPr>
  <c:printSettings>
    <c:headerFooter/>
    <c:pageMargins b="0.75000000000000788" l="0.70000000000000062" r="0.70000000000000062" t="0.750000000000007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'Income Statement_P&amp;L'!$C$23</c:f>
              <c:strCache>
                <c:ptCount val="1"/>
                <c:pt idx="0">
                  <c:v>Net margin %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solidFill>
                <a:schemeClr val="accent1">
                  <a:lumMod val="40000"/>
                  <a:lumOff val="60000"/>
                </a:schemeClr>
              </a:solidFill>
            </a:ln>
          </c:spPr>
          <c:invertIfNegative val="0"/>
          <c:cat>
            <c:numRef>
              <c:f>'Income Statement_P&amp;L'!$D$3:$K$3</c:f>
              <c:numCache>
                <c:formatCode>General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'Income Statement_P&amp;L'!$D$23:$K$23</c:f>
              <c:numCache>
                <c:formatCode>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5" formatCode="0.00%">
                  <c:v>-4.702</c:v>
                </c:pt>
                <c:pt idx="6" formatCode="0.00%">
                  <c:v>-5.1133000000000006</c:v>
                </c:pt>
                <c:pt idx="7" formatCode="0.00%">
                  <c:v>0.15909090909090906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A8-C244-BDCD-718EE92098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9131648"/>
        <c:axId val="149113472"/>
      </c:barChart>
      <c:lineChart>
        <c:grouping val="stacked"/>
        <c:varyColors val="0"/>
        <c:ser>
          <c:idx val="0"/>
          <c:order val="0"/>
          <c:tx>
            <c:strRef>
              <c:f>'Income Statement_P&amp;L'!#REF!</c:f>
              <c:strCache>
                <c:ptCount val="1"/>
                <c:pt idx="0">
                  <c:v>#REF!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cat>
            <c:numRef>
              <c:f>'Income Statement_P&amp;L'!$D$3:$K$3</c:f>
              <c:numCache>
                <c:formatCode>General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'Income Statement_P&amp;L'!#REF!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77A8-C244-BDCD-718EE92098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111936"/>
        <c:axId val="149110144"/>
      </c:lineChart>
      <c:valAx>
        <c:axId val="14911014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111936"/>
        <c:crosses val="max"/>
        <c:crossBetween val="between"/>
      </c:valAx>
      <c:catAx>
        <c:axId val="1491119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49110144"/>
        <c:crosses val="autoZero"/>
        <c:auto val="1"/>
        <c:lblAlgn val="ctr"/>
        <c:lblOffset val="100"/>
        <c:noMultiLvlLbl val="0"/>
      </c:catAx>
      <c:valAx>
        <c:axId val="149113472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131648"/>
        <c:crosses val="autoZero"/>
        <c:crossBetween val="between"/>
      </c:valAx>
      <c:catAx>
        <c:axId val="1491316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49113472"/>
        <c:crosses val="autoZero"/>
        <c:auto val="1"/>
        <c:lblAlgn val="ctr"/>
        <c:lblOffset val="100"/>
        <c:noMultiLvlLbl val="0"/>
      </c:catAx>
    </c:plotArea>
    <c:legend>
      <c:legendPos val="b"/>
      <c:overlay val="0"/>
    </c:legend>
    <c:plotVisOnly val="1"/>
    <c:dispBlanksAs val="gap"/>
    <c:showDLblsOverMax val="0"/>
  </c:chart>
  <c:spPr>
    <a:ln>
      <a:solidFill>
        <a:schemeClr val="bg1"/>
      </a:solidFill>
    </a:ln>
  </c:spPr>
  <c:printSettings>
    <c:headerFooter/>
    <c:pageMargins b="0.75000000000000788" l="0.70000000000000062" r="0.70000000000000062" t="0.7500000000000078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793963254594112E-2"/>
          <c:y val="4.6770924467774859E-2"/>
          <c:w val="0.9115393700787402"/>
          <c:h val="0.7211245990084576"/>
        </c:manualLayout>
      </c:layout>
      <c:lineChart>
        <c:grouping val="standard"/>
        <c:varyColors val="0"/>
        <c:ser>
          <c:idx val="3"/>
          <c:order val="0"/>
          <c:tx>
            <c:strRef>
              <c:f>' Cash Flow'!$C$12</c:f>
              <c:strCache>
                <c:ptCount val="1"/>
                <c:pt idx="0">
                  <c:v>Free cash flow</c:v>
                </c:pt>
              </c:strCache>
            </c:strRef>
          </c:tx>
          <c:spPr>
            <a:ln w="19050"/>
          </c:spPr>
          <c:marker>
            <c:symbol val="none"/>
          </c:marker>
          <c:cat>
            <c:numRef>
              <c:f>'Income Statement_P&amp;L'!$E$3:$K$3</c:f>
              <c:numCache>
                <c:formatCode>General</c:formatCod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numCache>
            </c:numRef>
          </c:cat>
          <c:val>
            <c:numRef>
              <c:f>' Cash Flow'!$D$12:$J$12</c:f>
              <c:numCache>
                <c:formatCode>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4" formatCode="0.000">
                  <c:v>-38.616</c:v>
                </c:pt>
                <c:pt idx="5" formatCode="0.000">
                  <c:v>-52.133000000000003</c:v>
                </c:pt>
                <c:pt idx="6" formatCode="0.000">
                  <c:v>3.1999999999999993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5DEB-4B43-AFC3-DBC73F98B9C3}"/>
            </c:ext>
          </c:extLst>
        </c:ser>
        <c:ser>
          <c:idx val="1"/>
          <c:order val="2"/>
          <c:tx>
            <c:strRef>
              <c:f>'Income Statement_P&amp;L'!$C$11</c:f>
              <c:strCache>
                <c:ptCount val="1"/>
                <c:pt idx="0">
                  <c:v>EBIT</c:v>
                </c:pt>
              </c:strCache>
            </c:strRef>
          </c:tx>
          <c:spPr>
            <a:ln w="19050"/>
          </c:spPr>
          <c:marker>
            <c:symbol val="none"/>
          </c:marker>
          <c:cat>
            <c:numRef>
              <c:f>'Income Statement_P&amp;L'!$E$3:$K$3</c:f>
              <c:numCache>
                <c:formatCode>General</c:formatCod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numCache>
            </c:numRef>
          </c:cat>
          <c:val>
            <c:numRef>
              <c:f>'Income Statement_P&amp;L'!$E$11:$K$11</c:f>
              <c:numCache>
                <c:formatCode>0.00_ ;[Red]\-0.00\ </c:formatCode>
                <c:ptCount val="7"/>
                <c:pt idx="4">
                  <c:v>0</c:v>
                </c:pt>
                <c:pt idx="5">
                  <c:v>0</c:v>
                </c:pt>
                <c:pt idx="6">
                  <c:v>4.3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5DEB-4B43-AFC3-DBC73F98B9C3}"/>
            </c:ext>
          </c:extLst>
        </c:ser>
        <c:ser>
          <c:idx val="2"/>
          <c:order val="3"/>
          <c:tx>
            <c:strRef>
              <c:f>'Income Statement_P&amp;L'!$C$21</c:f>
              <c:strCache>
                <c:ptCount val="1"/>
                <c:pt idx="0">
                  <c:v>NET INCOME</c:v>
                </c:pt>
              </c:strCache>
            </c:strRef>
          </c:tx>
          <c:spPr>
            <a:ln w="19050"/>
          </c:spPr>
          <c:marker>
            <c:symbol val="none"/>
          </c:marker>
          <c:cat>
            <c:numRef>
              <c:f>'Income Statement_P&amp;L'!$E$3:$K$3</c:f>
              <c:numCache>
                <c:formatCode>General</c:formatCod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numCache>
            </c:numRef>
          </c:cat>
          <c:val>
            <c:numRef>
              <c:f>'Income Statement_P&amp;L'!$E$21:$K$21</c:f>
              <c:numCache>
                <c:formatCode>_-[$$-409]* #,##0.00_ ;_-[$$-409]* \-#,##0.00\ ;_-[$$-409]* "-"??_ ;_-@_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4">
                  <c:v>-37.616</c:v>
                </c:pt>
                <c:pt idx="5">
                  <c:v>-51.133000000000003</c:v>
                </c:pt>
                <c:pt idx="6">
                  <c:v>2.8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5DEB-4B43-AFC3-DBC73F98B9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36736"/>
        <c:axId val="149250816"/>
      </c:lineChart>
      <c:lineChart>
        <c:grouping val="standard"/>
        <c:varyColors val="0"/>
        <c:ser>
          <c:idx val="0"/>
          <c:order val="1"/>
          <c:tx>
            <c:strRef>
              <c:f>'Income Statement_P&amp;L'!$C$5</c:f>
              <c:strCache>
                <c:ptCount val="1"/>
                <c:pt idx="0">
                  <c:v>REVENUE</c:v>
                </c:pt>
              </c:strCache>
            </c:strRef>
          </c:tx>
          <c:spPr>
            <a:ln w="19050"/>
          </c:spPr>
          <c:marker>
            <c:symbol val="none"/>
          </c:marker>
          <c:cat>
            <c:numRef>
              <c:f>'Income Statement_P&amp;L'!$E$3:$K$3</c:f>
              <c:numCache>
                <c:formatCode>General</c:formatCod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numCache>
            </c:numRef>
          </c:cat>
          <c:val>
            <c:numRef>
              <c:f>'Income Statement_P&amp;L'!$E$5:$K$5</c:f>
              <c:numCache>
                <c:formatCode>General</c:formatCode>
                <c:ptCount val="7"/>
                <c:pt idx="4" formatCode="_-[$$-409]* #,##0.00_ ;_-[$$-409]* \-#,##0.00\ ;_-[$$-409]* &quot;-&quot;??_ ;_-@_ ">
                  <c:v>8</c:v>
                </c:pt>
                <c:pt idx="5" formatCode="_-[$$-409]* #,##0.00_ ;_-[$$-409]* \-#,##0.00\ ;_-[$$-409]* &quot;-&quot;??_ ;_-@_ ">
                  <c:v>10</c:v>
                </c:pt>
                <c:pt idx="6" formatCode="_-[$$-409]* #,##0.00_ ;_-[$$-409]* \-#,##0.00\ ;_-[$$-409]* &quot;-&quot;??_ ;_-@_ ">
                  <c:v>17.600000000000001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5DEB-4B43-AFC3-DBC73F98B9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54144"/>
        <c:axId val="149252352"/>
      </c:lineChart>
      <c:catAx>
        <c:axId val="149236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3">
                    <a:lumMod val="75000"/>
                  </a:schemeClr>
                </a:solidFill>
              </a:defRPr>
            </a:pPr>
            <a:endParaRPr lang="es-ES"/>
          </a:p>
        </c:txPr>
        <c:crossAx val="149250816"/>
        <c:crosses val="autoZero"/>
        <c:auto val="1"/>
        <c:lblAlgn val="ctr"/>
        <c:lblOffset val="100"/>
        <c:noMultiLvlLbl val="0"/>
      </c:catAx>
      <c:valAx>
        <c:axId val="149250816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236736"/>
        <c:crosses val="autoZero"/>
        <c:crossBetween val="between"/>
      </c:valAx>
      <c:valAx>
        <c:axId val="14925235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254144"/>
        <c:crosses val="max"/>
        <c:crossBetween val="between"/>
      </c:valAx>
      <c:catAx>
        <c:axId val="1492541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49252352"/>
        <c:crosses val="autoZero"/>
        <c:auto val="1"/>
        <c:lblAlgn val="ctr"/>
        <c:lblOffset val="100"/>
        <c:noMultiLvlLbl val="0"/>
      </c:catAx>
    </c:plotArea>
    <c:legend>
      <c:legendPos val="b"/>
      <c:overlay val="0"/>
    </c:legend>
    <c:plotVisOnly val="1"/>
    <c:dispBlanksAs val="gap"/>
    <c:showDLblsOverMax val="0"/>
  </c:chart>
  <c:spPr>
    <a:ln>
      <a:solidFill>
        <a:schemeClr val="bg1"/>
      </a:solidFill>
    </a:ln>
  </c:spPr>
  <c:printSettings>
    <c:headerFooter/>
    <c:pageMargins b="0.75000000000000788" l="0.70000000000000062" r="0.70000000000000062" t="0.7500000000000078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1678258967629244E-2"/>
          <c:y val="7.4490740740741412E-2"/>
          <c:w val="0.88498840769903764"/>
          <c:h val="0.720887649460489"/>
        </c:manualLayout>
      </c:layout>
      <c:lineChart>
        <c:grouping val="standard"/>
        <c:varyColors val="0"/>
        <c:ser>
          <c:idx val="0"/>
          <c:order val="0"/>
          <c:tx>
            <c:strRef>
              <c:f>'Income Statement_P&amp;L'!$C$12</c:f>
              <c:strCache>
                <c:ptCount val="1"/>
                <c:pt idx="0">
                  <c:v>EBIT margin %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'Income Statement_P&amp;L'!$D$3:$K$3</c:f>
              <c:numCache>
                <c:formatCode>General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'Income Statement_P&amp;L'!$D$12:$K$12</c:f>
              <c:numCache>
                <c:formatCode>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0.00%">
                  <c:v>0</c:v>
                </c:pt>
                <c:pt idx="5">
                  <c:v>0</c:v>
                </c:pt>
                <c:pt idx="6" formatCode="0.00%">
                  <c:v>0</c:v>
                </c:pt>
                <c:pt idx="7">
                  <c:v>0.2443181818181818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DE2-3545-A180-DF1073131C19}"/>
            </c:ext>
          </c:extLst>
        </c:ser>
        <c:ser>
          <c:idx val="1"/>
          <c:order val="1"/>
          <c:tx>
            <c:strRef>
              <c:f>'Income Statement_P&amp;L'!$C$23</c:f>
              <c:strCache>
                <c:ptCount val="1"/>
                <c:pt idx="0">
                  <c:v>Net margin %</c:v>
                </c:pt>
              </c:strCache>
            </c:strRef>
          </c:tx>
          <c:spPr>
            <a:ln w="19050" cap="rnd">
              <a:solidFill>
                <a:schemeClr val="tx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'Income Statement_P&amp;L'!$D$3:$K$3</c:f>
              <c:numCache>
                <c:formatCode>General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'Income Statement_P&amp;L'!$D$23:$K$23</c:f>
              <c:numCache>
                <c:formatCode>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5" formatCode="0.00%">
                  <c:v>-4.702</c:v>
                </c:pt>
                <c:pt idx="6" formatCode="0.00%">
                  <c:v>-5.1133000000000006</c:v>
                </c:pt>
                <c:pt idx="7" formatCode="0.00%">
                  <c:v>0.15909090909090906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DE2-3545-A180-DF1073131C19}"/>
            </c:ext>
          </c:extLst>
        </c:ser>
        <c:ser>
          <c:idx val="2"/>
          <c:order val="2"/>
          <c:tx>
            <c:strRef>
              <c:f>'Income Statement_P&amp;L'!$G$79</c:f>
              <c:strCache>
                <c:ptCount val="1"/>
                <c:pt idx="0">
                  <c:v>Margen EBIT Promedio</c:v>
                </c:pt>
              </c:strCache>
            </c:strRef>
          </c:tx>
          <c:spPr>
            <a:ln w="12700" cap="rnd">
              <a:solidFill>
                <a:sysClr val="windowText" lastClr="000000"/>
              </a:solidFill>
              <a:prstDash val="sysDot"/>
              <a:round/>
            </a:ln>
            <a:effectLst/>
          </c:spPr>
          <c:marker>
            <c:symbol val="none"/>
          </c:marker>
          <c:val>
            <c:numRef>
              <c:f>'Income Statement_P&amp;L'!$I$79:$P$79</c:f>
              <c:numCache>
                <c:formatCode>0.0%</c:formatCode>
                <c:ptCount val="8"/>
                <c:pt idx="0">
                  <c:v>8.1439393939393936E-2</c:v>
                </c:pt>
                <c:pt idx="1">
                  <c:v>8.1439393939393936E-2</c:v>
                </c:pt>
                <c:pt idx="2">
                  <c:v>8.1439393939393936E-2</c:v>
                </c:pt>
                <c:pt idx="3">
                  <c:v>8.1439393939393936E-2</c:v>
                </c:pt>
                <c:pt idx="4">
                  <c:v>8.1439393939393936E-2</c:v>
                </c:pt>
                <c:pt idx="5">
                  <c:v>8.1439393939393936E-2</c:v>
                </c:pt>
                <c:pt idx="6">
                  <c:v>8.1439393939393936E-2</c:v>
                </c:pt>
                <c:pt idx="7">
                  <c:v>8.1439393939393936E-2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DE2-3545-A180-DF1073131C19}"/>
            </c:ext>
          </c:extLst>
        </c:ser>
        <c:ser>
          <c:idx val="3"/>
          <c:order val="3"/>
          <c:tx>
            <c:strRef>
              <c:f>'Income Statement_P&amp;L'!$G$80</c:f>
              <c:strCache>
                <c:ptCount val="1"/>
                <c:pt idx="0">
                  <c:v>Net Margin Promedio</c:v>
                </c:pt>
              </c:strCache>
            </c:strRef>
          </c:tx>
          <c:spPr>
            <a:ln w="9525" cap="rnd">
              <a:solidFill>
                <a:schemeClr val="accent4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'Income Statement_P&amp;L'!$I$80:$P$80</c:f>
              <c:numCache>
                <c:formatCode>0.0%</c:formatCode>
                <c:ptCount val="8"/>
                <c:pt idx="0">
                  <c:v>-3.218736363636364</c:v>
                </c:pt>
                <c:pt idx="1">
                  <c:v>-3.218736363636364</c:v>
                </c:pt>
                <c:pt idx="2">
                  <c:v>-3.218736363636364</c:v>
                </c:pt>
                <c:pt idx="3">
                  <c:v>-3.218736363636364</c:v>
                </c:pt>
                <c:pt idx="4">
                  <c:v>-3.218736363636364</c:v>
                </c:pt>
                <c:pt idx="5">
                  <c:v>-3.218736363636364</c:v>
                </c:pt>
                <c:pt idx="6">
                  <c:v>-3.218736363636364</c:v>
                </c:pt>
                <c:pt idx="7">
                  <c:v>-3.218736363636364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DE2-3545-A180-DF1073131C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280256"/>
        <c:axId val="149281792"/>
      </c:lineChart>
      <c:catAx>
        <c:axId val="149280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6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9281792"/>
        <c:crosses val="autoZero"/>
        <c:auto val="1"/>
        <c:lblAlgn val="ctr"/>
        <c:lblOffset val="100"/>
        <c:noMultiLvlLbl val="0"/>
      </c:catAx>
      <c:valAx>
        <c:axId val="149281792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6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9280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365048118985126"/>
          <c:y val="4.6296296296296523E-2"/>
          <c:w val="0.53888888888888964"/>
          <c:h val="0.89814814814814814"/>
        </c:manualLayout>
      </c:layout>
      <c:pieChart>
        <c:varyColors val="1"/>
        <c:ser>
          <c:idx val="0"/>
          <c:order val="0"/>
          <c:cat>
            <c:strRef>
              <c:f>'Income Statement_P&amp;L'!$L$96:$L$99</c:f>
              <c:strCache>
                <c:ptCount val="4"/>
                <c:pt idx="0">
                  <c:v>EMEA</c:v>
                </c:pt>
                <c:pt idx="1">
                  <c:v>APAC</c:v>
                </c:pt>
                <c:pt idx="2">
                  <c:v>LATAM</c:v>
                </c:pt>
                <c:pt idx="3">
                  <c:v>NA</c:v>
                </c:pt>
              </c:strCache>
            </c:strRef>
          </c:cat>
          <c:val>
            <c:numRef>
              <c:f>'Income Statement_P&amp;L'!$M$96:$M$99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58-BA4A-BC22-5A24135F03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308698742460522E-2"/>
          <c:y val="3.7511665208515642E-2"/>
          <c:w val="0.68556414563156676"/>
          <c:h val="0.8326195683872849"/>
        </c:manualLayout>
      </c:layout>
      <c:lineChart>
        <c:grouping val="stacked"/>
        <c:varyColors val="0"/>
        <c:ser>
          <c:idx val="1"/>
          <c:order val="1"/>
          <c:tx>
            <c:strRef>
              <c:f>'Income Statement_P&amp;L'!$E$103</c:f>
              <c:strCache>
                <c:ptCount val="1"/>
                <c:pt idx="0">
                  <c:v>Sales Growth %</c:v>
                </c:pt>
              </c:strCache>
            </c:strRef>
          </c:tx>
          <c:spPr>
            <a:ln>
              <a:solidFill>
                <a:srgbClr val="92D050"/>
              </a:solidFill>
            </a:ln>
          </c:spPr>
          <c:marker>
            <c:symbol val="none"/>
          </c:marker>
          <c:cat>
            <c:numRef>
              <c:f>'Income Statement_P&amp;L'!$D$95:$K$95</c:f>
              <c:numCache>
                <c:formatCode>General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'Income Statement_P&amp;L'!$E$104:$L$104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0.25</c:v>
                </c:pt>
                <c:pt idx="7">
                  <c:v>0.76000000000000012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039-1C49-A52E-2B95BF11FB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92928"/>
        <c:axId val="149294464"/>
      </c:lineChart>
      <c:lineChart>
        <c:grouping val="stacked"/>
        <c:varyColors val="0"/>
        <c:ser>
          <c:idx val="0"/>
          <c:order val="0"/>
          <c:tx>
            <c:strRef>
              <c:f>'Income Statement_P&amp;L'!$E$101</c:f>
              <c:strCache>
                <c:ptCount val="1"/>
                <c:pt idx="0">
                  <c:v>EBITDA</c:v>
                </c:pt>
              </c:strCache>
            </c:strRef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cat>
            <c:numRef>
              <c:f>'Income Statement_P&amp;L'!$D$95:$K$95</c:f>
              <c:numCache>
                <c:formatCode>General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'Income Statement_P&amp;L'!$E$102:$L$102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2</c:v>
                </c:pt>
                <c:pt idx="7">
                  <c:v>6.6999999999999993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8039-1C49-A52E-2B95BF11FB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305984"/>
        <c:axId val="149304448"/>
      </c:lineChart>
      <c:catAx>
        <c:axId val="149292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294464"/>
        <c:crosses val="autoZero"/>
        <c:auto val="1"/>
        <c:lblAlgn val="ctr"/>
        <c:lblOffset val="100"/>
        <c:noMultiLvlLbl val="0"/>
      </c:catAx>
      <c:valAx>
        <c:axId val="1492944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292928"/>
        <c:crosses val="autoZero"/>
        <c:crossBetween val="between"/>
      </c:valAx>
      <c:valAx>
        <c:axId val="14930444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305984"/>
        <c:crosses val="max"/>
        <c:crossBetween val="between"/>
      </c:valAx>
      <c:catAx>
        <c:axId val="1493059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49304448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zero"/>
    <c:showDLblsOverMax val="0"/>
  </c:chart>
  <c:spPr>
    <a:ln>
      <a:solidFill>
        <a:schemeClr val="bg1"/>
      </a:solidFill>
    </a:ln>
  </c:spPr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'1.Cuenta P&amp;G'!#REF!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'1.Cuenta P&amp;G'!#REF!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'1.Cuenta P&amp;G'!#REF!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7B25-5048-96C8-752228677870}"/>
            </c:ext>
          </c:extLst>
        </c:ser>
        <c:ser>
          <c:idx val="1"/>
          <c:order val="1"/>
          <c:marker>
            <c:symbol val="none"/>
          </c:marker>
          <c:val>
            <c:numRef>
              <c:f>'1.Cuenta P&amp;G'!#REF!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'1.Cuenta P&amp;G'!#REF!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'1.Cuenta P&amp;G'!#REF!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7B25-5048-96C8-752228677870}"/>
            </c:ext>
          </c:extLst>
        </c:ser>
        <c:ser>
          <c:idx val="2"/>
          <c:order val="2"/>
          <c:marker>
            <c:symbol val="none"/>
          </c:marker>
          <c:val>
            <c:numRef>
              <c:f>'1.Cuenta P&amp;G'!#REF!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'1.Cuenta P&amp;G'!#REF!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'1.Cuenta P&amp;G'!#REF!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7B25-5048-96C8-7522286778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323136"/>
        <c:axId val="149333120"/>
      </c:lineChart>
      <c:catAx>
        <c:axId val="149323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3">
                    <a:lumMod val="75000"/>
                  </a:schemeClr>
                </a:solidFill>
              </a:defRPr>
            </a:pPr>
            <a:endParaRPr lang="es-ES"/>
          </a:p>
        </c:txPr>
        <c:crossAx val="149333120"/>
        <c:crosses val="autoZero"/>
        <c:auto val="1"/>
        <c:lblAlgn val="ctr"/>
        <c:lblOffset val="100"/>
        <c:noMultiLvlLbl val="0"/>
      </c:catAx>
      <c:valAx>
        <c:axId val="1493331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3">
                    <a:lumMod val="75000"/>
                  </a:schemeClr>
                </a:solidFill>
              </a:defRPr>
            </a:pPr>
            <a:endParaRPr lang="es-ES"/>
          </a:p>
        </c:txPr>
        <c:crossAx val="149323136"/>
        <c:crosses val="autoZero"/>
        <c:crossBetween val="between"/>
      </c:valAx>
      <c:spPr>
        <a:noFill/>
      </c:spPr>
    </c:plotArea>
    <c:legend>
      <c:legendPos val="r"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030228248932725E-2"/>
          <c:y val="2.40730559567628E-2"/>
          <c:w val="0.8851345455021985"/>
          <c:h val="0.68030781655252026"/>
        </c:manualLayout>
      </c:layout>
      <c:lineChart>
        <c:grouping val="standard"/>
        <c:varyColors val="0"/>
        <c:ser>
          <c:idx val="0"/>
          <c:order val="0"/>
          <c:tx>
            <c:strRef>
              <c:f>Balance!$C$19</c:f>
              <c:strCache>
                <c:ptCount val="1"/>
                <c:pt idx="0">
                  <c:v>ROE ( net income / equity )</c:v>
                </c:pt>
              </c:strCache>
            </c:strRef>
          </c:tx>
          <c:marker>
            <c:symbol val="none"/>
          </c:marker>
          <c:dPt>
            <c:idx val="7"/>
            <c:bubble3D val="0"/>
            <c:spPr>
              <a:ln>
                <a:solidFill>
                  <a:schemeClr val="accent1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0-126B-674A-BB69-0EB8FA5FA3E0}"/>
              </c:ext>
            </c:extLst>
          </c:dPt>
          <c:dPt>
            <c:idx val="8"/>
            <c:bubble3D val="0"/>
            <c:spPr>
              <a:ln>
                <a:solidFill>
                  <a:schemeClr val="accent1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1-126B-674A-BB69-0EB8FA5FA3E0}"/>
              </c:ext>
            </c:extLst>
          </c:dPt>
          <c:dPt>
            <c:idx val="9"/>
            <c:bubble3D val="0"/>
            <c:spPr>
              <a:ln>
                <a:solidFill>
                  <a:schemeClr val="accent1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2-126B-674A-BB69-0EB8FA5FA3E0}"/>
              </c:ext>
            </c:extLst>
          </c:dPt>
          <c:dPt>
            <c:idx val="10"/>
            <c:bubble3D val="0"/>
            <c:spPr>
              <a:ln>
                <a:solidFill>
                  <a:schemeClr val="accent1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3-126B-674A-BB69-0EB8FA5FA3E0}"/>
              </c:ext>
            </c:extLst>
          </c:dPt>
          <c:dPt>
            <c:idx val="11"/>
            <c:bubble3D val="0"/>
            <c:spPr>
              <a:ln>
                <a:solidFill>
                  <a:schemeClr val="accent1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4-126B-674A-BB69-0EB8FA5FA3E0}"/>
              </c:ext>
            </c:extLst>
          </c:dPt>
          <c:cat>
            <c:numRef>
              <c:f>Balance!$D$4:$O$4</c:f>
              <c:numCache>
                <c:formatCode>0</c:formatCode>
                <c:ptCount val="12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 formatCode="General">
                  <c:v>2022</c:v>
                </c:pt>
                <c:pt idx="7" formatCode="General">
                  <c:v>2023</c:v>
                </c:pt>
                <c:pt idx="8" formatCode="General">
                  <c:v>2024</c:v>
                </c:pt>
                <c:pt idx="9" formatCode="General">
                  <c:v>2025</c:v>
                </c:pt>
                <c:pt idx="10" formatCode="General">
                  <c:v>2026</c:v>
                </c:pt>
                <c:pt idx="11" formatCode="General">
                  <c:v>2027</c:v>
                </c:pt>
              </c:numCache>
            </c:numRef>
          </c:cat>
          <c:val>
            <c:numRef>
              <c:f>Balance!$D$19:$O$19</c:f>
              <c:numCache>
                <c:formatCode>0%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 formatCode="0.0%">
                  <c:v>0.16470588235294117</c:v>
                </c:pt>
                <c:pt idx="7" formatCode="0.0%">
                  <c:v>0.26786290322580647</c:v>
                </c:pt>
                <c:pt idx="8" formatCode="0.0%">
                  <c:v>0.41526242343431707</c:v>
                </c:pt>
                <c:pt idx="9" formatCode="0.0%">
                  <c:v>0.38159566940409229</c:v>
                </c:pt>
                <c:pt idx="10" formatCode="0.0%">
                  <c:v>0.35057328819318206</c:v>
                </c:pt>
                <c:pt idx="11" formatCode="0.0%">
                  <c:v>0.32200793298018016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126B-674A-BB69-0EB8FA5FA3E0}"/>
            </c:ext>
          </c:extLst>
        </c:ser>
        <c:ser>
          <c:idx val="1"/>
          <c:order val="1"/>
          <c:tx>
            <c:strRef>
              <c:f>Balance!$C$20</c:f>
              <c:strCache>
                <c:ptCount val="1"/>
                <c:pt idx="0">
                  <c:v>ROCE (EBIT / Capital empleado)</c:v>
                </c:pt>
              </c:strCache>
            </c:strRef>
          </c:tx>
          <c:marker>
            <c:symbol val="none"/>
          </c:marker>
          <c:dPt>
            <c:idx val="7"/>
            <c:bubble3D val="0"/>
            <c:spPr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6-126B-674A-BB69-0EB8FA5FA3E0}"/>
              </c:ext>
            </c:extLst>
          </c:dPt>
          <c:dPt>
            <c:idx val="8"/>
            <c:bubble3D val="0"/>
            <c:spPr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7-126B-674A-BB69-0EB8FA5FA3E0}"/>
              </c:ext>
            </c:extLst>
          </c:dPt>
          <c:dPt>
            <c:idx val="9"/>
            <c:bubble3D val="0"/>
            <c:spPr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8-126B-674A-BB69-0EB8FA5FA3E0}"/>
              </c:ext>
            </c:extLst>
          </c:dPt>
          <c:dPt>
            <c:idx val="10"/>
            <c:bubble3D val="0"/>
            <c:spPr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9-126B-674A-BB69-0EB8FA5FA3E0}"/>
              </c:ext>
            </c:extLst>
          </c:dPt>
          <c:dPt>
            <c:idx val="11"/>
            <c:bubble3D val="0"/>
            <c:spPr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A-126B-674A-BB69-0EB8FA5FA3E0}"/>
              </c:ext>
            </c:extLst>
          </c:dPt>
          <c:cat>
            <c:numRef>
              <c:f>Balance!$D$4:$O$4</c:f>
              <c:numCache>
                <c:formatCode>0</c:formatCode>
                <c:ptCount val="12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 formatCode="General">
                  <c:v>2022</c:v>
                </c:pt>
                <c:pt idx="7" formatCode="General">
                  <c:v>2023</c:v>
                </c:pt>
                <c:pt idx="8" formatCode="General">
                  <c:v>2024</c:v>
                </c:pt>
                <c:pt idx="9" formatCode="General">
                  <c:v>2025</c:v>
                </c:pt>
                <c:pt idx="10" formatCode="General">
                  <c:v>2026</c:v>
                </c:pt>
                <c:pt idx="11" formatCode="General">
                  <c:v>2027</c:v>
                </c:pt>
              </c:numCache>
            </c:numRef>
          </c:cat>
          <c:val>
            <c:numRef>
              <c:f>Balance!$D$20:$O$20</c:f>
              <c:numCache>
                <c:formatCode>0%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 formatCode="0.0%">
                  <c:v>0.26874999999999999</c:v>
                </c:pt>
                <c:pt idx="7" formatCode="0.0%">
                  <c:v>0.48372093023255813</c:v>
                </c:pt>
                <c:pt idx="8" formatCode="0.0%">
                  <c:v>0.78340678017637755</c:v>
                </c:pt>
                <c:pt idx="9" formatCode="0.0%">
                  <c:v>0.71885248638183186</c:v>
                </c:pt>
                <c:pt idx="10" formatCode="0.0%">
                  <c:v>0.65961759618802396</c:v>
                </c:pt>
                <c:pt idx="11" formatCode="0.0%">
                  <c:v>0.60526378004312553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B-126B-674A-BB69-0EB8FA5FA3E0}"/>
            </c:ext>
          </c:extLst>
        </c:ser>
        <c:ser>
          <c:idx val="2"/>
          <c:order val="2"/>
          <c:tx>
            <c:strRef>
              <c:f>Balance!$C$21</c:f>
              <c:strCache>
                <c:ptCount val="1"/>
                <c:pt idx="0">
                  <c:v>ROCE sin goodwill( EBIT / Capital empleado)</c:v>
                </c:pt>
              </c:strCache>
            </c:strRef>
          </c:tx>
          <c:marker>
            <c:symbol val="none"/>
          </c:marker>
          <c:dPt>
            <c:idx val="7"/>
            <c:bubble3D val="0"/>
            <c:spPr>
              <a:ln>
                <a:solidFill>
                  <a:schemeClr val="accent3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C-126B-674A-BB69-0EB8FA5FA3E0}"/>
              </c:ext>
            </c:extLst>
          </c:dPt>
          <c:dPt>
            <c:idx val="8"/>
            <c:bubble3D val="0"/>
            <c:spPr>
              <a:ln>
                <a:solidFill>
                  <a:schemeClr val="accent3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D-126B-674A-BB69-0EB8FA5FA3E0}"/>
              </c:ext>
            </c:extLst>
          </c:dPt>
          <c:dPt>
            <c:idx val="9"/>
            <c:bubble3D val="0"/>
            <c:spPr>
              <a:ln>
                <a:solidFill>
                  <a:schemeClr val="accent3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E-126B-674A-BB69-0EB8FA5FA3E0}"/>
              </c:ext>
            </c:extLst>
          </c:dPt>
          <c:dPt>
            <c:idx val="10"/>
            <c:bubble3D val="0"/>
            <c:spPr>
              <a:ln>
                <a:solidFill>
                  <a:schemeClr val="accent3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F-126B-674A-BB69-0EB8FA5FA3E0}"/>
              </c:ext>
            </c:extLst>
          </c:dPt>
          <c:dPt>
            <c:idx val="11"/>
            <c:bubble3D val="0"/>
            <c:spPr>
              <a:ln>
                <a:solidFill>
                  <a:schemeClr val="accent3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10-126B-674A-BB69-0EB8FA5FA3E0}"/>
              </c:ext>
            </c:extLst>
          </c:dPt>
          <c:cat>
            <c:numRef>
              <c:f>Balance!$D$4:$O$4</c:f>
              <c:numCache>
                <c:formatCode>0</c:formatCode>
                <c:ptCount val="12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 formatCode="General">
                  <c:v>2022</c:v>
                </c:pt>
                <c:pt idx="7" formatCode="General">
                  <c:v>2023</c:v>
                </c:pt>
                <c:pt idx="8" formatCode="General">
                  <c:v>2024</c:v>
                </c:pt>
                <c:pt idx="9" formatCode="General">
                  <c:v>2025</c:v>
                </c:pt>
                <c:pt idx="10" formatCode="General">
                  <c:v>2026</c:v>
                </c:pt>
                <c:pt idx="11" formatCode="General">
                  <c:v>2027</c:v>
                </c:pt>
              </c:numCache>
            </c:numRef>
          </c:cat>
          <c:val>
            <c:numRef>
              <c:f>Balance!$D$21:$O$21</c:f>
              <c:numCache>
                <c:formatCode>0%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 formatCode="0.0%">
                  <c:v>0.26874999999999999</c:v>
                </c:pt>
                <c:pt idx="7" formatCode="0.0%">
                  <c:v>0.48372093023255813</c:v>
                </c:pt>
                <c:pt idx="8" formatCode="0.0%">
                  <c:v>0.78340678017637755</c:v>
                </c:pt>
                <c:pt idx="9" formatCode="0.0%">
                  <c:v>0.71885248638183186</c:v>
                </c:pt>
                <c:pt idx="10" formatCode="0.0%">
                  <c:v>0.65961759618802396</c:v>
                </c:pt>
                <c:pt idx="11" formatCode="0.0%">
                  <c:v>0.60526378004312553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11-126B-674A-BB69-0EB8FA5FA3E0}"/>
            </c:ext>
          </c:extLst>
        </c:ser>
        <c:ser>
          <c:idx val="3"/>
          <c:order val="3"/>
          <c:tx>
            <c:strRef>
              <c:f>Balance!$L$44</c:f>
              <c:strCache>
                <c:ptCount val="1"/>
              </c:strCache>
            </c:strRef>
          </c:tx>
          <c:spPr>
            <a:ln w="12700">
              <a:prstDash val="sysDot"/>
            </a:ln>
          </c:spPr>
          <c:marker>
            <c:symbol val="none"/>
          </c:marker>
          <c:cat>
            <c:numRef>
              <c:f>Balance!$D$4:$O$4</c:f>
              <c:numCache>
                <c:formatCode>0</c:formatCode>
                <c:ptCount val="12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 formatCode="General">
                  <c:v>2022</c:v>
                </c:pt>
                <c:pt idx="7" formatCode="General">
                  <c:v>2023</c:v>
                </c:pt>
                <c:pt idx="8" formatCode="General">
                  <c:v>2024</c:v>
                </c:pt>
                <c:pt idx="9" formatCode="General">
                  <c:v>2025</c:v>
                </c:pt>
                <c:pt idx="10" formatCode="General">
                  <c:v>2026</c:v>
                </c:pt>
                <c:pt idx="11" formatCode="General">
                  <c:v>2027</c:v>
                </c:pt>
              </c:numCache>
            </c:numRef>
          </c:cat>
          <c:val>
            <c:numRef>
              <c:f>Balance!$O$33:$Z$33</c:f>
              <c:numCache>
                <c:formatCode>0.00</c:formatCode>
                <c:ptCount val="12"/>
                <c:pt idx="0">
                  <c:v>8.275382989840903</c:v>
                </c:pt>
                <c:pt idx="1">
                  <c:v>10.822233377133896</c:v>
                </c:pt>
                <c:pt idx="2" formatCode="0.00%">
                  <c:v>0.16470588235294117</c:v>
                </c:pt>
                <c:pt idx="3" formatCode="0.00%">
                  <c:v>0.16470588235294117</c:v>
                </c:pt>
                <c:pt idx="4" formatCode="0.00%">
                  <c:v>0.16470588235294117</c:v>
                </c:pt>
                <c:pt idx="5" formatCode="0.00%">
                  <c:v>0.16470588235294117</c:v>
                </c:pt>
                <c:pt idx="6" formatCode="0.00%">
                  <c:v>0.16470588235294117</c:v>
                </c:pt>
                <c:pt idx="7" formatCode="0.00%">
                  <c:v>0.16470588235294117</c:v>
                </c:pt>
                <c:pt idx="8" formatCode="0.00%">
                  <c:v>0.16470588235294117</c:v>
                </c:pt>
                <c:pt idx="9" formatCode="0.00%">
                  <c:v>0.16470588235294117</c:v>
                </c:pt>
                <c:pt idx="10" formatCode="0.00%">
                  <c:v>0.16470588235294117</c:v>
                </c:pt>
                <c:pt idx="11" formatCode="0.00%">
                  <c:v>0.16470588235294117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126B-674A-BB69-0EB8FA5FA3E0}"/>
            </c:ext>
          </c:extLst>
        </c:ser>
        <c:ser>
          <c:idx val="4"/>
          <c:order val="4"/>
          <c:tx>
            <c:strRef>
              <c:f>Balance!$L$45</c:f>
              <c:strCache>
                <c:ptCount val="1"/>
              </c:strCache>
            </c:strRef>
          </c:tx>
          <c:spPr>
            <a:ln w="12700">
              <a:prstDash val="dash"/>
            </a:ln>
          </c:spPr>
          <c:marker>
            <c:symbol val="none"/>
          </c:marker>
          <c:cat>
            <c:numRef>
              <c:f>Balance!$D$4:$O$4</c:f>
              <c:numCache>
                <c:formatCode>0</c:formatCode>
                <c:ptCount val="12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 formatCode="General">
                  <c:v>2022</c:v>
                </c:pt>
                <c:pt idx="7" formatCode="General">
                  <c:v>2023</c:v>
                </c:pt>
                <c:pt idx="8" formatCode="General">
                  <c:v>2024</c:v>
                </c:pt>
                <c:pt idx="9" formatCode="General">
                  <c:v>2025</c:v>
                </c:pt>
                <c:pt idx="10" formatCode="General">
                  <c:v>2026</c:v>
                </c:pt>
                <c:pt idx="11" formatCode="General">
                  <c:v>2027</c:v>
                </c:pt>
              </c:numCache>
            </c:numRef>
          </c:cat>
          <c:val>
            <c:numRef>
              <c:f>Balance!$O$34:$Z$34</c:f>
              <c:numCache>
                <c:formatCode>0.00</c:formatCode>
                <c:ptCount val="12"/>
                <c:pt idx="0">
                  <c:v>0</c:v>
                </c:pt>
                <c:pt idx="1">
                  <c:v>0</c:v>
                </c:pt>
                <c:pt idx="2" formatCode="0.00%">
                  <c:v>0.26874999999999999</c:v>
                </c:pt>
                <c:pt idx="3" formatCode="0.00%">
                  <c:v>0.26874999999999999</c:v>
                </c:pt>
                <c:pt idx="4" formatCode="0.00%">
                  <c:v>0.26874999999999999</c:v>
                </c:pt>
                <c:pt idx="5" formatCode="0.00%">
                  <c:v>0.26874999999999999</c:v>
                </c:pt>
                <c:pt idx="6" formatCode="0.00%">
                  <c:v>0.26874999999999999</c:v>
                </c:pt>
                <c:pt idx="7" formatCode="0.00%">
                  <c:v>0.26874999999999999</c:v>
                </c:pt>
                <c:pt idx="8" formatCode="0.00%">
                  <c:v>0.26874999999999999</c:v>
                </c:pt>
                <c:pt idx="9" formatCode="0.00%">
                  <c:v>0.26874999999999999</c:v>
                </c:pt>
                <c:pt idx="10" formatCode="0.00%">
                  <c:v>0.26874999999999999</c:v>
                </c:pt>
                <c:pt idx="11" formatCode="0.00%">
                  <c:v>0.26874999999999999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126B-674A-BB69-0EB8FA5FA3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382656"/>
        <c:axId val="149384192"/>
      </c:lineChart>
      <c:catAx>
        <c:axId val="14938265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384192"/>
        <c:crosses val="autoZero"/>
        <c:auto val="1"/>
        <c:lblAlgn val="ctr"/>
        <c:lblOffset val="100"/>
        <c:noMultiLvlLbl val="0"/>
      </c:catAx>
      <c:valAx>
        <c:axId val="149384192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3826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>
      <a:solidFill>
        <a:schemeClr val="bg1"/>
      </a:solidFill>
    </a:ln>
  </c:spPr>
  <c:txPr>
    <a:bodyPr/>
    <a:lstStyle/>
    <a:p>
      <a:pPr>
        <a:defRPr>
          <a:solidFill>
            <a:sysClr val="windowText" lastClr="000000"/>
          </a:solidFill>
        </a:defRPr>
      </a:pPr>
      <a:endParaRPr lang="es-ES"/>
    </a:p>
  </c:txPr>
  <c:printSettings>
    <c:headerFooter/>
    <c:pageMargins b="0.75000000000000788" l="0.70000000000000062" r="0.70000000000000062" t="0.75000000000000788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4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/>
    <cs:fillRef idx="2">
      <cs:styleClr val="auto"/>
    </cs:fillRef>
    <cs:effectRef idx="1"/>
    <cs:fontRef idx="minor">
      <a:schemeClr val="dk1"/>
    </cs:fontRef>
    <cs:spPr/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trlProps/ctrlProp1.xml><?xml version="1.0" encoding="utf-8"?>
<formControlPr xmlns="http://schemas.microsoft.com/office/spreadsheetml/2009/9/main" objectType="CheckBox" checked="Checked" fmlaLink="#REF!" lockText="1" noThreeD="1"/>
</file>

<file path=xl/ctrlProps/ctrlProp2.xml><?xml version="1.0" encoding="utf-8"?>
<formControlPr xmlns="http://schemas.microsoft.com/office/spreadsheetml/2009/9/main" objectType="CheckBox" checked="Checked" fmlaLink="$R$27" lockText="1" noThreeD="1"/>
</file>

<file path=xl/ctrlProps/ctrlProp3.xml><?xml version="1.0" encoding="utf-8"?>
<formControlPr xmlns="http://schemas.microsoft.com/office/spreadsheetml/2009/9/main" objectType="Drop" dropStyle="combo" dx="15" fmlaLink="$D$101" fmlaRange="$C$5:$C$23" noThreeD="1" sel="3" val="0"/>
</file>

<file path=xl/ctrlProps/ctrlProp4.xml><?xml version="1.0" encoding="utf-8"?>
<formControlPr xmlns="http://schemas.microsoft.com/office/spreadsheetml/2009/9/main" objectType="Drop" dropStyle="combo" dx="15" fmlaLink="$D$103" fmlaRange="$C$5:$C$23" noThreeD="1" sel="2" val="0"/>
</file>

<file path=xl/ctrlProps/ctrlProp5.xml><?xml version="1.0" encoding="utf-8"?>
<formControlPr xmlns="http://schemas.microsoft.com/office/spreadsheetml/2009/9/main" objectType="Drop" dropStyle="combo" dx="15" fmlaLink="$L$95" fmlaRange="$N$95:$N$102" noThreeD="1" sel="8" val="0"/>
</file>

<file path=xl/ctrlProps/ctrlProp6.xml><?xml version="1.0" encoding="utf-8"?>
<formControlPr xmlns="http://schemas.microsoft.com/office/spreadsheetml/2009/9/main" objectType="CheckBox" checked="Checked" fmlaLink="$M$20" lockText="1" noThreeD="1"/>
</file>

<file path=xl/ctrlProps/ctrlProp7.xml><?xml version="1.0" encoding="utf-8"?>
<formControlPr xmlns="http://schemas.microsoft.com/office/spreadsheetml/2009/9/main" objectType="CheckBox" fmlaLink="$Q$22" lockText="1" noThreeD="1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41</xdr:row>
      <xdr:rowOff>51435</xdr:rowOff>
    </xdr:from>
    <xdr:to>
      <xdr:col>6</xdr:col>
      <xdr:colOff>449581</xdr:colOff>
      <xdr:row>56</xdr:row>
      <xdr:rowOff>51435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186689</xdr:colOff>
      <xdr:row>41</xdr:row>
      <xdr:rowOff>137159</xdr:rowOff>
    </xdr:from>
    <xdr:to>
      <xdr:col>13</xdr:col>
      <xdr:colOff>158115</xdr:colOff>
      <xdr:row>58</xdr:row>
      <xdr:rowOff>20954</xdr:rowOff>
    </xdr:to>
    <xdr:graphicFrame macro="">
      <xdr:nvGraphicFramePr>
        <xdr:cNvPr id="9" name="8 Gráfic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281940</xdr:colOff>
      <xdr:row>57</xdr:row>
      <xdr:rowOff>87630</xdr:rowOff>
    </xdr:from>
    <xdr:to>
      <xdr:col>6</xdr:col>
      <xdr:colOff>358140</xdr:colOff>
      <xdr:row>72</xdr:row>
      <xdr:rowOff>125730</xdr:rowOff>
    </xdr:to>
    <xdr:graphicFrame macro="">
      <xdr:nvGraphicFramePr>
        <xdr:cNvPr id="10" name="9 Gráfic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220979</xdr:colOff>
      <xdr:row>57</xdr:row>
      <xdr:rowOff>110490</xdr:rowOff>
    </xdr:from>
    <xdr:to>
      <xdr:col>13</xdr:col>
      <xdr:colOff>192405</xdr:colOff>
      <xdr:row>73</xdr:row>
      <xdr:rowOff>3810</xdr:rowOff>
    </xdr:to>
    <xdr:graphicFrame macro="">
      <xdr:nvGraphicFramePr>
        <xdr:cNvPr id="11" name="10 Gráfico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114300</xdr:colOff>
      <xdr:row>75</xdr:row>
      <xdr:rowOff>11430</xdr:rowOff>
    </xdr:from>
    <xdr:to>
      <xdr:col>7</xdr:col>
      <xdr:colOff>662940</xdr:colOff>
      <xdr:row>92</xdr:row>
      <xdr:rowOff>22860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121920</xdr:colOff>
      <xdr:row>73</xdr:row>
      <xdr:rowOff>19050</xdr:rowOff>
    </xdr:from>
    <xdr:to>
      <xdr:col>14</xdr:col>
      <xdr:colOff>266700</xdr:colOff>
      <xdr:row>89</xdr:row>
      <xdr:rowOff>106680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333374</xdr:colOff>
      <xdr:row>99</xdr:row>
      <xdr:rowOff>123825</xdr:rowOff>
    </xdr:from>
    <xdr:to>
      <xdr:col>11</xdr:col>
      <xdr:colOff>352424</xdr:colOff>
      <xdr:row>114</xdr:row>
      <xdr:rowOff>9525</xdr:rowOff>
    </xdr:to>
    <xdr:graphicFrame macro="">
      <xdr:nvGraphicFramePr>
        <xdr:cNvPr id="12" name="11 Gráfico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11</xdr:col>
      <xdr:colOff>9524</xdr:colOff>
      <xdr:row>33</xdr:row>
      <xdr:rowOff>190501</xdr:rowOff>
    </xdr:from>
    <xdr:to>
      <xdr:col>16</xdr:col>
      <xdr:colOff>1209674</xdr:colOff>
      <xdr:row>34</xdr:row>
      <xdr:rowOff>38100</xdr:rowOff>
    </xdr:to>
    <xdr:graphicFrame macro="">
      <xdr:nvGraphicFramePr>
        <xdr:cNvPr id="13" name="12 Gráfico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723900</xdr:colOff>
          <xdr:row>28</xdr:row>
          <xdr:rowOff>12700</xdr:rowOff>
        </xdr:from>
        <xdr:to>
          <xdr:col>12</xdr:col>
          <xdr:colOff>101600</xdr:colOff>
          <xdr:row>29</xdr:row>
          <xdr:rowOff>38100</xdr:rowOff>
        </xdr:to>
        <xdr:sp macro="" textlink="">
          <xdr:nvSpPr>
            <xdr:cNvPr id="6148" name="Check Box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:a16="http://schemas.microsoft.com/office/drawing/2014/main" id="{00000000-0008-0000-0000-00000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736600</xdr:colOff>
          <xdr:row>27</xdr:row>
          <xdr:rowOff>25400</xdr:rowOff>
        </xdr:from>
        <xdr:to>
          <xdr:col>12</xdr:col>
          <xdr:colOff>114300</xdr:colOff>
          <xdr:row>28</xdr:row>
          <xdr:rowOff>12700</xdr:rowOff>
        </xdr:to>
        <xdr:sp macro="" textlink="">
          <xdr:nvSpPr>
            <xdr:cNvPr id="6149" name="Check Box 5" hidden="1">
              <a:extLst>
                <a:ext uri="{63B3BB69-23CF-44E3-9099-C40C66FF867C}">
                  <a14:compatExt spid="_x0000_s6149"/>
                </a:ext>
                <a:ext uri="{FF2B5EF4-FFF2-40B4-BE49-F238E27FC236}">
                  <a16:creationId xmlns:a16="http://schemas.microsoft.com/office/drawing/2014/main" id="{00000000-0008-0000-0000-00000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584200</xdr:colOff>
          <xdr:row>101</xdr:row>
          <xdr:rowOff>0</xdr:rowOff>
        </xdr:from>
        <xdr:to>
          <xdr:col>3</xdr:col>
          <xdr:colOff>0</xdr:colOff>
          <xdr:row>102</xdr:row>
          <xdr:rowOff>12700</xdr:rowOff>
        </xdr:to>
        <xdr:sp macro="" textlink="">
          <xdr:nvSpPr>
            <xdr:cNvPr id="6150" name="Drop Down 6" hidden="1">
              <a:extLst>
                <a:ext uri="{63B3BB69-23CF-44E3-9099-C40C66FF867C}">
                  <a14:compatExt spid="_x0000_s6150"/>
                </a:ext>
                <a:ext uri="{FF2B5EF4-FFF2-40B4-BE49-F238E27FC236}">
                  <a16:creationId xmlns:a16="http://schemas.microsoft.com/office/drawing/2014/main" id="{00000000-0008-0000-0000-00000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596900</xdr:colOff>
          <xdr:row>103</xdr:row>
          <xdr:rowOff>25400</xdr:rowOff>
        </xdr:from>
        <xdr:to>
          <xdr:col>3</xdr:col>
          <xdr:colOff>0</xdr:colOff>
          <xdr:row>104</xdr:row>
          <xdr:rowOff>38100</xdr:rowOff>
        </xdr:to>
        <xdr:sp macro="" textlink="">
          <xdr:nvSpPr>
            <xdr:cNvPr id="6151" name="Drop Down 7" hidden="1">
              <a:extLst>
                <a:ext uri="{63B3BB69-23CF-44E3-9099-C40C66FF867C}">
                  <a14:compatExt spid="_x0000_s6151"/>
                </a:ext>
                <a:ext uri="{FF2B5EF4-FFF2-40B4-BE49-F238E27FC236}">
                  <a16:creationId xmlns:a16="http://schemas.microsoft.com/office/drawing/2014/main" id="{00000000-0008-0000-0000-00000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330200</xdr:colOff>
          <xdr:row>79</xdr:row>
          <xdr:rowOff>38100</xdr:rowOff>
        </xdr:from>
        <xdr:to>
          <xdr:col>16</xdr:col>
          <xdr:colOff>1003300</xdr:colOff>
          <xdr:row>80</xdr:row>
          <xdr:rowOff>76200</xdr:rowOff>
        </xdr:to>
        <xdr:sp macro="" textlink="">
          <xdr:nvSpPr>
            <xdr:cNvPr id="6152" name="Drop Down 8" hidden="1">
              <a:extLst>
                <a:ext uri="{63B3BB69-23CF-44E3-9099-C40C66FF867C}">
                  <a14:compatExt spid="_x0000_s6152"/>
                </a:ext>
                <a:ext uri="{FF2B5EF4-FFF2-40B4-BE49-F238E27FC236}">
                  <a16:creationId xmlns:a16="http://schemas.microsoft.com/office/drawing/2014/main" id="{00000000-0008-0000-0000-00000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2</xdr:col>
      <xdr:colOff>243714</xdr:colOff>
      <xdr:row>1</xdr:row>
      <xdr:rowOff>50800</xdr:rowOff>
    </xdr:from>
    <xdr:to>
      <xdr:col>2</xdr:col>
      <xdr:colOff>1859565</xdr:colOff>
      <xdr:row>1</xdr:row>
      <xdr:rowOff>1181100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916814" y="254000"/>
          <a:ext cx="1615851" cy="11303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520064</xdr:colOff>
      <xdr:row>42</xdr:row>
      <xdr:rowOff>83820</xdr:rowOff>
    </xdr:from>
    <xdr:to>
      <xdr:col>9</xdr:col>
      <xdr:colOff>81915</xdr:colOff>
      <xdr:row>59</xdr:row>
      <xdr:rowOff>198120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13334</xdr:colOff>
      <xdr:row>62</xdr:row>
      <xdr:rowOff>38100</xdr:rowOff>
    </xdr:from>
    <xdr:to>
      <xdr:col>7</xdr:col>
      <xdr:colOff>329565</xdr:colOff>
      <xdr:row>75</xdr:row>
      <xdr:rowOff>179070</xdr:rowOff>
    </xdr:to>
    <xdr:graphicFrame macro="">
      <xdr:nvGraphicFramePr>
        <xdr:cNvPr id="6" name="5 Gráfico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542925</xdr:colOff>
      <xdr:row>59</xdr:row>
      <xdr:rowOff>144780</xdr:rowOff>
    </xdr:from>
    <xdr:to>
      <xdr:col>18</xdr:col>
      <xdr:colOff>504825</xdr:colOff>
      <xdr:row>75</xdr:row>
      <xdr:rowOff>144780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2</xdr:col>
      <xdr:colOff>635000</xdr:colOff>
      <xdr:row>1</xdr:row>
      <xdr:rowOff>50800</xdr:rowOff>
    </xdr:from>
    <xdr:to>
      <xdr:col>2</xdr:col>
      <xdr:colOff>2250851</xdr:colOff>
      <xdr:row>1</xdr:row>
      <xdr:rowOff>1181100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587500" y="254000"/>
          <a:ext cx="1615851" cy="11303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28</xdr:row>
      <xdr:rowOff>85725</xdr:rowOff>
    </xdr:from>
    <xdr:to>
      <xdr:col>8</xdr:col>
      <xdr:colOff>561975</xdr:colOff>
      <xdr:row>42</xdr:row>
      <xdr:rowOff>28575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</xdr:col>
      <xdr:colOff>762000</xdr:colOff>
      <xdr:row>2</xdr:row>
      <xdr:rowOff>103908</xdr:rowOff>
    </xdr:from>
    <xdr:to>
      <xdr:col>2</xdr:col>
      <xdr:colOff>2214452</xdr:colOff>
      <xdr:row>2</xdr:row>
      <xdr:rowOff>1119909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54909" y="507999"/>
          <a:ext cx="1452452" cy="101600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19</xdr:row>
      <xdr:rowOff>33337</xdr:rowOff>
    </xdr:from>
    <xdr:to>
      <xdr:col>5</xdr:col>
      <xdr:colOff>476250</xdr:colOff>
      <xdr:row>33</xdr:row>
      <xdr:rowOff>100012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238125</xdr:colOff>
      <xdr:row>33</xdr:row>
      <xdr:rowOff>123825</xdr:rowOff>
    </xdr:from>
    <xdr:to>
      <xdr:col>5</xdr:col>
      <xdr:colOff>485775</xdr:colOff>
      <xdr:row>48</xdr:row>
      <xdr:rowOff>9525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673100</xdr:colOff>
          <xdr:row>16</xdr:row>
          <xdr:rowOff>63500</xdr:rowOff>
        </xdr:from>
        <xdr:to>
          <xdr:col>12</xdr:col>
          <xdr:colOff>114300</xdr:colOff>
          <xdr:row>18</xdr:row>
          <xdr:rowOff>139700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3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s-ES_tradnl" sz="800" b="0" i="0" u="none" strike="noStrike" baseline="0">
                  <a:solidFill>
                    <a:srgbClr val="000000"/>
                  </a:solidFill>
                  <a:latin typeface="Tahoma" pitchFamily="2" charset="0"/>
                  <a:ea typeface="Tahoma" pitchFamily="2" charset="0"/>
                  <a:cs typeface="Tahoma" pitchFamily="2" charset="0"/>
                </a:rPr>
                <a:t>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673100</xdr:colOff>
          <xdr:row>17</xdr:row>
          <xdr:rowOff>317500</xdr:rowOff>
        </xdr:from>
        <xdr:to>
          <xdr:col>12</xdr:col>
          <xdr:colOff>0</xdr:colOff>
          <xdr:row>19</xdr:row>
          <xdr:rowOff>12700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3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2</xdr:col>
      <xdr:colOff>584200</xdr:colOff>
      <xdr:row>2</xdr:row>
      <xdr:rowOff>127000</xdr:rowOff>
    </xdr:from>
    <xdr:to>
      <xdr:col>2</xdr:col>
      <xdr:colOff>2036652</xdr:colOff>
      <xdr:row>2</xdr:row>
      <xdr:rowOff>1143001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828800" y="520700"/>
          <a:ext cx="1452452" cy="101600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647700</xdr:colOff>
      <xdr:row>28</xdr:row>
      <xdr:rowOff>30480</xdr:rowOff>
    </xdr:from>
    <xdr:to>
      <xdr:col>11</xdr:col>
      <xdr:colOff>30480</xdr:colOff>
      <xdr:row>40</xdr:row>
      <xdr:rowOff>167640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708660</xdr:colOff>
      <xdr:row>40</xdr:row>
      <xdr:rowOff>68580</xdr:rowOff>
    </xdr:from>
    <xdr:to>
      <xdr:col>11</xdr:col>
      <xdr:colOff>53340</xdr:colOff>
      <xdr:row>52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52</xdr:row>
      <xdr:rowOff>60960</xdr:rowOff>
    </xdr:from>
    <xdr:to>
      <xdr:col>5</xdr:col>
      <xdr:colOff>579120</xdr:colOff>
      <xdr:row>67</xdr:row>
      <xdr:rowOff>60960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Relationship Id="rId6" Type="http://schemas.openxmlformats.org/officeDocument/2006/relationships/comments" Target="../comments1.xml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S104"/>
  <sheetViews>
    <sheetView showGridLines="0" zoomScaleNormal="100" workbookViewId="0">
      <pane ySplit="3" topLeftCell="A4" activePane="bottomLeft" state="frozen"/>
      <selection pane="bottomLeft" activeCell="L13" sqref="L13"/>
    </sheetView>
  </sheetViews>
  <sheetFormatPr baseColWidth="10" defaultColWidth="11.5" defaultRowHeight="15" outlineLevelRow="1" x14ac:dyDescent="0.2"/>
  <cols>
    <col min="1" max="1" width="3.5" style="47" customWidth="1"/>
    <col min="2" max="2" width="5.33203125" style="47" customWidth="1"/>
    <col min="3" max="3" width="27.33203125" style="47" customWidth="1"/>
    <col min="4" max="9" width="11.5" style="47"/>
    <col min="10" max="10" width="12.5" style="47" customWidth="1"/>
    <col min="11" max="11" width="13.83203125" style="47" customWidth="1"/>
    <col min="12" max="16" width="11.5" style="47"/>
    <col min="17" max="17" width="18.5" style="47" customWidth="1"/>
    <col min="18" max="18" width="8.33203125" style="47" customWidth="1"/>
    <col min="19" max="16384" width="11.5" style="47"/>
  </cols>
  <sheetData>
    <row r="1" spans="3:19" ht="16" thickBot="1" x14ac:dyDescent="0.25"/>
    <row r="2" spans="3:19" ht="97" customHeight="1" thickBot="1" x14ac:dyDescent="0.25">
      <c r="C2" s="306"/>
      <c r="D2" s="665" t="s">
        <v>185</v>
      </c>
      <c r="E2" s="666"/>
      <c r="F2" s="666"/>
      <c r="G2" s="666"/>
      <c r="H2" s="667"/>
      <c r="I2" s="667"/>
      <c r="J2" s="667"/>
      <c r="K2" s="668"/>
    </row>
    <row r="3" spans="3:19" ht="17" thickBot="1" x14ac:dyDescent="0.25">
      <c r="C3" s="111"/>
      <c r="D3" s="310">
        <v>2015</v>
      </c>
      <c r="E3" s="311">
        <f>D3+1</f>
        <v>2016</v>
      </c>
      <c r="F3" s="311">
        <f t="shared" ref="F3:P3" si="0">E3+1</f>
        <v>2017</v>
      </c>
      <c r="G3" s="311">
        <f>F3+1</f>
        <v>2018</v>
      </c>
      <c r="H3" s="476">
        <f t="shared" si="0"/>
        <v>2019</v>
      </c>
      <c r="I3" s="591">
        <f t="shared" si="0"/>
        <v>2020</v>
      </c>
      <c r="J3" s="591">
        <f t="shared" si="0"/>
        <v>2021</v>
      </c>
      <c r="K3" s="591">
        <f t="shared" ref="K3" si="1">J3+1</f>
        <v>2022</v>
      </c>
      <c r="L3" s="471">
        <f t="shared" ref="L3" si="2">K3+1</f>
        <v>2023</v>
      </c>
      <c r="M3" s="471">
        <f t="shared" ref="M3" si="3">L3+1</f>
        <v>2024</v>
      </c>
      <c r="N3" s="471">
        <f t="shared" ref="N3" si="4">M3+1</f>
        <v>2025</v>
      </c>
      <c r="O3" s="471">
        <f t="shared" ref="O3" si="5">N3+1</f>
        <v>2026</v>
      </c>
      <c r="P3" s="643">
        <f t="shared" si="0"/>
        <v>2027</v>
      </c>
      <c r="Q3" s="660" t="s">
        <v>187</v>
      </c>
    </row>
    <row r="4" spans="3:19" ht="17" thickBot="1" x14ac:dyDescent="0.25">
      <c r="C4" s="307" t="s">
        <v>163</v>
      </c>
      <c r="D4" s="109"/>
      <c r="E4" s="110"/>
      <c r="F4" s="110"/>
      <c r="G4" s="110"/>
      <c r="H4" s="592"/>
      <c r="I4" s="566"/>
      <c r="J4" s="566"/>
      <c r="K4" s="566"/>
      <c r="L4" s="566"/>
      <c r="M4" s="566"/>
      <c r="N4" s="566"/>
      <c r="O4" s="566"/>
      <c r="P4" s="644"/>
      <c r="Q4" s="661"/>
      <c r="R4" s="55"/>
    </row>
    <row r="5" spans="3:19" ht="16" x14ac:dyDescent="0.2">
      <c r="C5" s="312" t="s">
        <v>41</v>
      </c>
      <c r="D5" s="313"/>
      <c r="E5" s="314"/>
      <c r="F5" s="314"/>
      <c r="G5" s="562"/>
      <c r="H5" s="593"/>
      <c r="I5" s="567">
        <v>8</v>
      </c>
      <c r="J5" s="567">
        <v>10</v>
      </c>
      <c r="K5" s="567">
        <v>17.600000000000001</v>
      </c>
      <c r="L5" s="568">
        <v>26</v>
      </c>
      <c r="M5" s="568">
        <v>38</v>
      </c>
      <c r="N5" s="568">
        <f>(M5*N6)+M5</f>
        <v>45.6</v>
      </c>
      <c r="O5" s="568">
        <f>(N5*O6)+N5</f>
        <v>54.72</v>
      </c>
      <c r="P5" s="645">
        <f>(O5*P6)+O5</f>
        <v>65.664000000000001</v>
      </c>
      <c r="Q5" s="661"/>
      <c r="R5" s="55"/>
    </row>
    <row r="6" spans="3:19" ht="17" thickBot="1" x14ac:dyDescent="0.25">
      <c r="C6" s="285" t="s">
        <v>59</v>
      </c>
      <c r="D6" s="286"/>
      <c r="E6" s="445" t="str">
        <f t="shared" ref="E6:F6" si="6">IFERROR((E5-D5)/D5,"")</f>
        <v/>
      </c>
      <c r="F6" s="445" t="str">
        <f t="shared" si="6"/>
        <v/>
      </c>
      <c r="G6" s="445" t="str">
        <f>IFERROR((G5-F5)/F5,"")</f>
        <v/>
      </c>
      <c r="H6" s="594" t="str">
        <f t="shared" ref="H6" si="7">IFERROR((H5-G5)/G5,"")</f>
        <v/>
      </c>
      <c r="I6" s="569" t="str">
        <f t="shared" ref="I6" si="8">IFERROR((I5-H5)/H5,"")</f>
        <v/>
      </c>
      <c r="J6" s="569">
        <f t="shared" ref="J6:M6" si="9">IFERROR((J5-I5)/I5,"")</f>
        <v>0.25</v>
      </c>
      <c r="K6" s="569">
        <f t="shared" si="9"/>
        <v>0.76000000000000012</v>
      </c>
      <c r="L6" s="569">
        <f t="shared" si="9"/>
        <v>0.47727272727272713</v>
      </c>
      <c r="M6" s="569">
        <f t="shared" si="9"/>
        <v>0.46153846153846156</v>
      </c>
      <c r="N6" s="570">
        <v>0.2</v>
      </c>
      <c r="O6" s="570">
        <v>0.2</v>
      </c>
      <c r="P6" s="646">
        <v>0.2</v>
      </c>
      <c r="Q6" s="662">
        <f>AVERAGE(L6:P6)</f>
        <v>0.30776223776223771</v>
      </c>
    </row>
    <row r="7" spans="3:19" ht="16" x14ac:dyDescent="0.2">
      <c r="C7" s="316" t="s">
        <v>1</v>
      </c>
      <c r="D7" s="317">
        <f t="shared" ref="D7:G7" si="10">D11+D10</f>
        <v>0</v>
      </c>
      <c r="E7" s="318">
        <f t="shared" si="10"/>
        <v>0</v>
      </c>
      <c r="F7" s="318">
        <f t="shared" si="10"/>
        <v>0</v>
      </c>
      <c r="G7" s="318">
        <f t="shared" si="10"/>
        <v>0</v>
      </c>
      <c r="H7" s="595"/>
      <c r="I7" s="567">
        <v>2</v>
      </c>
      <c r="J7" s="567">
        <v>2</v>
      </c>
      <c r="K7" s="567">
        <f>K11+K10</f>
        <v>6.6999999999999993</v>
      </c>
      <c r="L7" s="568">
        <f>L5*L9</f>
        <v>11.700000000000001</v>
      </c>
      <c r="M7" s="568">
        <f>M5*M9</f>
        <v>23.56</v>
      </c>
      <c r="N7" s="568">
        <f>N5*N9</f>
        <v>28.272000000000002</v>
      </c>
      <c r="O7" s="568">
        <f>O5*O9</f>
        <v>33.926400000000001</v>
      </c>
      <c r="P7" s="645">
        <f>P5*P9</f>
        <v>40.711680000000001</v>
      </c>
      <c r="Q7" s="662"/>
      <c r="R7" s="55"/>
    </row>
    <row r="8" spans="3:19" ht="16" x14ac:dyDescent="0.2">
      <c r="C8" s="287" t="s">
        <v>184</v>
      </c>
      <c r="D8" s="631"/>
      <c r="E8" s="632"/>
      <c r="F8" s="632"/>
      <c r="G8" s="632"/>
      <c r="H8" s="595"/>
      <c r="I8" s="567"/>
      <c r="J8" s="630">
        <f>(J7-I7)/I7</f>
        <v>0</v>
      </c>
      <c r="K8" s="630">
        <f>(K7-J7)/J7</f>
        <v>2.3499999999999996</v>
      </c>
      <c r="L8" s="630">
        <f>(L7-K7)/K7</f>
        <v>0.74626865671641829</v>
      </c>
      <c r="M8" s="630">
        <f t="shared" ref="M8" si="11">(M7-L7)/L7</f>
        <v>1.0136752136752134</v>
      </c>
      <c r="N8" s="630">
        <f t="shared" ref="N8" si="12">(N7-M7)/M7</f>
        <v>0.20000000000000015</v>
      </c>
      <c r="O8" s="630">
        <f t="shared" ref="O8" si="13">(O7-N7)/N7</f>
        <v>0.19999999999999996</v>
      </c>
      <c r="P8" s="647">
        <f t="shared" ref="P8" si="14">(P7-O7)/O7</f>
        <v>0.2</v>
      </c>
      <c r="Q8" s="662">
        <f>AVERAGE(L8:P8)</f>
        <v>0.4719887740783264</v>
      </c>
      <c r="R8" s="55"/>
    </row>
    <row r="9" spans="3:19" ht="16" x14ac:dyDescent="0.2">
      <c r="C9" s="287" t="s">
        <v>46</v>
      </c>
      <c r="D9" s="288" t="str">
        <f t="shared" ref="D9:I9" si="15">IFERROR(D7/D5,"")</f>
        <v/>
      </c>
      <c r="E9" s="289" t="str">
        <f t="shared" si="15"/>
        <v/>
      </c>
      <c r="F9" s="289" t="str">
        <f t="shared" si="15"/>
        <v/>
      </c>
      <c r="G9" s="289" t="str">
        <f t="shared" si="15"/>
        <v/>
      </c>
      <c r="H9" s="594" t="str">
        <f t="shared" si="15"/>
        <v/>
      </c>
      <c r="I9" s="569">
        <f t="shared" si="15"/>
        <v>0.25</v>
      </c>
      <c r="J9" s="572">
        <f>J7/J5</f>
        <v>0.2</v>
      </c>
      <c r="K9" s="572">
        <f>K7/K5</f>
        <v>0.38068181818181812</v>
      </c>
      <c r="L9" s="572">
        <v>0.45</v>
      </c>
      <c r="M9" s="572">
        <v>0.62</v>
      </c>
      <c r="N9" s="572">
        <v>0.62</v>
      </c>
      <c r="O9" s="572">
        <v>0.62</v>
      </c>
      <c r="P9" s="648">
        <v>0.62</v>
      </c>
      <c r="Q9" s="662"/>
      <c r="R9" s="477"/>
      <c r="S9" s="633"/>
    </row>
    <row r="10" spans="3:19" ht="16" x14ac:dyDescent="0.2">
      <c r="C10" s="319" t="s">
        <v>42</v>
      </c>
      <c r="D10" s="320"/>
      <c r="E10" s="321"/>
      <c r="F10" s="321"/>
      <c r="G10" s="563"/>
      <c r="H10" s="596"/>
      <c r="I10" s="574"/>
      <c r="J10" s="574"/>
      <c r="K10" s="575">
        <v>2.4</v>
      </c>
      <c r="L10" s="575"/>
      <c r="M10" s="575" t="s">
        <v>188</v>
      </c>
      <c r="N10" s="575"/>
      <c r="O10" s="575"/>
      <c r="P10" s="649"/>
      <c r="Q10" s="662"/>
    </row>
    <row r="11" spans="3:19" ht="16" x14ac:dyDescent="0.2">
      <c r="C11" s="322" t="s">
        <v>2</v>
      </c>
      <c r="D11" s="323"/>
      <c r="E11" s="324"/>
      <c r="F11" s="324"/>
      <c r="G11" s="564"/>
      <c r="H11" s="597"/>
      <c r="I11" s="576">
        <v>0</v>
      </c>
      <c r="J11" s="576">
        <v>0</v>
      </c>
      <c r="K11" s="576">
        <v>4.3</v>
      </c>
      <c r="L11" s="577">
        <f>L5*L12</f>
        <v>10.4</v>
      </c>
      <c r="M11" s="577">
        <f>M5*M12</f>
        <v>20.900000000000002</v>
      </c>
      <c r="N11" s="577">
        <f>N5*N12</f>
        <v>25.080000000000002</v>
      </c>
      <c r="O11" s="577">
        <f>O5*O12</f>
        <v>30.096</v>
      </c>
      <c r="P11" s="650">
        <f>P5*P12</f>
        <v>36.115200000000002</v>
      </c>
      <c r="Q11" s="662"/>
      <c r="R11" s="302"/>
    </row>
    <row r="12" spans="3:19" ht="16" x14ac:dyDescent="0.2">
      <c r="C12" s="285" t="s">
        <v>43</v>
      </c>
      <c r="D12" s="290" t="str">
        <f t="shared" ref="D12:I12" si="16">IFERROR(D11/D5,"")</f>
        <v/>
      </c>
      <c r="E12" s="291" t="str">
        <f t="shared" si="16"/>
        <v/>
      </c>
      <c r="F12" s="291" t="str">
        <f t="shared" si="16"/>
        <v/>
      </c>
      <c r="G12" s="291" t="str">
        <f t="shared" si="16"/>
        <v/>
      </c>
      <c r="H12" s="598" t="str">
        <f t="shared" si="16"/>
        <v/>
      </c>
      <c r="I12" s="569">
        <f t="shared" si="16"/>
        <v>0</v>
      </c>
      <c r="J12" s="572">
        <f>J11/J5</f>
        <v>0</v>
      </c>
      <c r="K12" s="569">
        <f>IFERROR(K11/K5,"")</f>
        <v>0.2443181818181818</v>
      </c>
      <c r="L12" s="569">
        <v>0.4</v>
      </c>
      <c r="M12" s="569">
        <v>0.55000000000000004</v>
      </c>
      <c r="N12" s="569">
        <v>0.55000000000000004</v>
      </c>
      <c r="O12" s="569">
        <v>0.55000000000000004</v>
      </c>
      <c r="P12" s="651">
        <v>0.55000000000000004</v>
      </c>
      <c r="Q12" s="662">
        <f>AVERAGE(L12:P12)</f>
        <v>0.51999999999999991</v>
      </c>
    </row>
    <row r="13" spans="3:19" ht="16" x14ac:dyDescent="0.2">
      <c r="C13" s="287" t="s">
        <v>58</v>
      </c>
      <c r="D13" s="292"/>
      <c r="E13" s="289" t="str">
        <f>IFERROR((E11-D11)/D11,"")</f>
        <v/>
      </c>
      <c r="F13" s="289" t="str">
        <f t="shared" ref="F13:P13" si="17">IFERROR((F11-E11)/E11,"")</f>
        <v/>
      </c>
      <c r="G13" s="289" t="str">
        <f>IFERROR((G11-F11)/F11,"")</f>
        <v/>
      </c>
      <c r="H13" s="594"/>
      <c r="I13" s="569" t="str">
        <f t="shared" ref="I13" si="18">IFERROR((I11-H11)/H11,"")</f>
        <v/>
      </c>
      <c r="J13" s="569" t="str">
        <f t="shared" ref="J13" si="19">IFERROR((J11-I11)/I11,"")</f>
        <v/>
      </c>
      <c r="K13" s="639" t="str">
        <f t="shared" si="17"/>
        <v/>
      </c>
      <c r="L13" s="569">
        <f t="shared" si="17"/>
        <v>1.4186046511627908</v>
      </c>
      <c r="M13" s="569">
        <f t="shared" si="17"/>
        <v>1.0096153846153848</v>
      </c>
      <c r="N13" s="569">
        <f t="shared" si="17"/>
        <v>0.19999999999999996</v>
      </c>
      <c r="O13" s="569">
        <f t="shared" si="17"/>
        <v>0.19999999999999993</v>
      </c>
      <c r="P13" s="651">
        <f t="shared" si="17"/>
        <v>0.20000000000000004</v>
      </c>
      <c r="Q13" s="662"/>
    </row>
    <row r="14" spans="3:19" ht="16" x14ac:dyDescent="0.2">
      <c r="C14" s="325" t="s">
        <v>48</v>
      </c>
      <c r="D14" s="320"/>
      <c r="E14" s="321"/>
      <c r="F14" s="321"/>
      <c r="G14" s="563"/>
      <c r="H14" s="596"/>
      <c r="I14" s="573"/>
      <c r="J14" s="578"/>
      <c r="K14" s="578">
        <v>0.2</v>
      </c>
      <c r="L14" s="579">
        <v>0.18</v>
      </c>
      <c r="M14" s="579">
        <v>0.18</v>
      </c>
      <c r="N14" s="579">
        <v>0.18</v>
      </c>
      <c r="O14" s="579">
        <v>0.18</v>
      </c>
      <c r="P14" s="652">
        <v>0.18</v>
      </c>
      <c r="Q14" s="662"/>
      <c r="R14" s="55"/>
    </row>
    <row r="15" spans="3:19" ht="16" x14ac:dyDescent="0.2">
      <c r="C15" s="293"/>
      <c r="D15" s="293"/>
      <c r="E15" s="446"/>
      <c r="F15" s="446"/>
      <c r="G15" s="446"/>
      <c r="H15" s="599"/>
      <c r="I15" s="580"/>
      <c r="J15" s="580"/>
      <c r="K15" s="580"/>
      <c r="L15" s="571"/>
      <c r="M15" s="571"/>
      <c r="N15" s="571"/>
      <c r="O15" s="571"/>
      <c r="P15" s="653"/>
      <c r="Q15" s="662"/>
      <c r="R15" s="477"/>
    </row>
    <row r="16" spans="3:19" ht="16" x14ac:dyDescent="0.2">
      <c r="C16" s="322" t="s">
        <v>47</v>
      </c>
      <c r="D16" s="322">
        <f t="shared" ref="D16:P16" si="20">D11-D14-D15</f>
        <v>0</v>
      </c>
      <c r="E16" s="447">
        <f t="shared" si="20"/>
        <v>0</v>
      </c>
      <c r="F16" s="447">
        <f t="shared" si="20"/>
        <v>0</v>
      </c>
      <c r="G16" s="447">
        <f t="shared" si="20"/>
        <v>0</v>
      </c>
      <c r="H16" s="600"/>
      <c r="I16" s="581">
        <f t="shared" ref="I16:J16" si="21">I11-I14-I15</f>
        <v>0</v>
      </c>
      <c r="J16" s="582">
        <f t="shared" si="21"/>
        <v>0</v>
      </c>
      <c r="K16" s="582">
        <f t="shared" si="20"/>
        <v>4.0999999999999996</v>
      </c>
      <c r="L16" s="583">
        <f t="shared" si="20"/>
        <v>10.220000000000001</v>
      </c>
      <c r="M16" s="583">
        <f t="shared" si="20"/>
        <v>20.720000000000002</v>
      </c>
      <c r="N16" s="583">
        <f t="shared" si="20"/>
        <v>24.900000000000002</v>
      </c>
      <c r="O16" s="583">
        <f t="shared" si="20"/>
        <v>29.916</v>
      </c>
      <c r="P16" s="654">
        <f t="shared" si="20"/>
        <v>35.935200000000002</v>
      </c>
      <c r="Q16" s="662"/>
      <c r="R16" s="55"/>
    </row>
    <row r="17" spans="3:18" ht="16" x14ac:dyDescent="0.2">
      <c r="C17" s="326" t="s">
        <v>49</v>
      </c>
      <c r="D17" s="320"/>
      <c r="E17" s="399"/>
      <c r="F17" s="399"/>
      <c r="G17" s="399"/>
      <c r="H17" s="596"/>
      <c r="I17" s="573">
        <v>37.616</v>
      </c>
      <c r="J17" s="584">
        <v>51.133000000000003</v>
      </c>
      <c r="K17" s="585">
        <v>1.3</v>
      </c>
      <c r="L17" s="585">
        <f>IFERROR(L16*L18,"")</f>
        <v>3.577</v>
      </c>
      <c r="M17" s="585">
        <f>IFERROR(M16*M18,"")</f>
        <v>7.2520000000000007</v>
      </c>
      <c r="N17" s="585">
        <f>IFERROR(N16*$I$31,"")</f>
        <v>8.7149999999999999</v>
      </c>
      <c r="O17" s="585">
        <f>IFERROR(O16*$I$31,"")</f>
        <v>10.470599999999999</v>
      </c>
      <c r="P17" s="655">
        <f>IFERROR(P16*$I$31,"")</f>
        <v>12.57732</v>
      </c>
      <c r="Q17" s="662"/>
      <c r="R17" s="55"/>
    </row>
    <row r="18" spans="3:18" ht="16" x14ac:dyDescent="0.2">
      <c r="C18" s="294" t="s">
        <v>50</v>
      </c>
      <c r="D18" s="295" t="str">
        <f>IFERROR(D17/D16,"")</f>
        <v/>
      </c>
      <c r="E18" s="445" t="str">
        <f t="shared" ref="E18:G18" si="22">IFERROR(E17/E16,"")</f>
        <v/>
      </c>
      <c r="F18" s="445" t="str">
        <f t="shared" si="22"/>
        <v/>
      </c>
      <c r="G18" s="445" t="str">
        <f t="shared" si="22"/>
        <v/>
      </c>
      <c r="H18" s="594"/>
      <c r="I18" s="569" t="str">
        <f t="shared" ref="I18:J18" si="23">IFERROR(I17/I16,"")</f>
        <v/>
      </c>
      <c r="J18" s="569" t="str">
        <f t="shared" si="23"/>
        <v/>
      </c>
      <c r="K18" s="569">
        <f>I31</f>
        <v>0.35</v>
      </c>
      <c r="L18" s="569">
        <f>K18</f>
        <v>0.35</v>
      </c>
      <c r="M18" s="569">
        <f t="shared" ref="M18:P18" si="24">L18</f>
        <v>0.35</v>
      </c>
      <c r="N18" s="569">
        <f t="shared" si="24"/>
        <v>0.35</v>
      </c>
      <c r="O18" s="569">
        <f t="shared" si="24"/>
        <v>0.35</v>
      </c>
      <c r="P18" s="651">
        <f t="shared" si="24"/>
        <v>0.35</v>
      </c>
      <c r="Q18" s="662"/>
    </row>
    <row r="19" spans="3:18" ht="16" x14ac:dyDescent="0.2">
      <c r="C19" s="285" t="s">
        <v>0</v>
      </c>
      <c r="D19" s="293">
        <f>D16-D17</f>
        <v>0</v>
      </c>
      <c r="E19" s="446">
        <f t="shared" ref="E19:P19" si="25">E16-E17</f>
        <v>0</v>
      </c>
      <c r="F19" s="446">
        <f t="shared" si="25"/>
        <v>0</v>
      </c>
      <c r="G19" s="446">
        <f t="shared" si="25"/>
        <v>0</v>
      </c>
      <c r="H19" s="599"/>
      <c r="I19" s="580">
        <f t="shared" ref="I19:J19" si="26">I16-I17</f>
        <v>-37.616</v>
      </c>
      <c r="J19" s="586">
        <f t="shared" si="26"/>
        <v>-51.133000000000003</v>
      </c>
      <c r="K19" s="586">
        <f t="shared" si="25"/>
        <v>2.8</v>
      </c>
      <c r="L19" s="587">
        <f>L16-L17</f>
        <v>6.6430000000000007</v>
      </c>
      <c r="M19" s="587">
        <f t="shared" si="25"/>
        <v>13.468000000000002</v>
      </c>
      <c r="N19" s="587">
        <f t="shared" si="25"/>
        <v>16.185000000000002</v>
      </c>
      <c r="O19" s="587">
        <f t="shared" si="25"/>
        <v>19.445399999999999</v>
      </c>
      <c r="P19" s="656">
        <f t="shared" si="25"/>
        <v>23.357880000000002</v>
      </c>
      <c r="Q19" s="662"/>
      <c r="R19" s="55"/>
    </row>
    <row r="20" spans="3:18" ht="16" x14ac:dyDescent="0.2">
      <c r="C20" s="315" t="s">
        <v>44</v>
      </c>
      <c r="D20" s="320"/>
      <c r="E20" s="321"/>
      <c r="F20" s="321"/>
      <c r="G20" s="563"/>
      <c r="H20" s="596"/>
      <c r="I20" s="578"/>
      <c r="J20" s="578"/>
      <c r="K20" s="578"/>
      <c r="L20" s="579"/>
      <c r="M20" s="579"/>
      <c r="N20" s="579"/>
      <c r="O20" s="579"/>
      <c r="P20" s="652"/>
      <c r="Q20" s="662"/>
      <c r="R20" s="55"/>
    </row>
    <row r="21" spans="3:18" ht="17" thickBot="1" x14ac:dyDescent="0.25">
      <c r="C21" s="327" t="s">
        <v>45</v>
      </c>
      <c r="D21" s="328">
        <f t="shared" ref="D21:P21" si="27">D19-D20</f>
        <v>0</v>
      </c>
      <c r="E21" s="328">
        <f t="shared" si="27"/>
        <v>0</v>
      </c>
      <c r="F21" s="328">
        <f t="shared" si="27"/>
        <v>0</v>
      </c>
      <c r="G21" s="328">
        <f t="shared" si="27"/>
        <v>0</v>
      </c>
      <c r="H21" s="601"/>
      <c r="I21" s="588">
        <f>I16-I17-I20</f>
        <v>-37.616</v>
      </c>
      <c r="J21" s="588">
        <f>J16-J17-J20</f>
        <v>-51.133000000000003</v>
      </c>
      <c r="K21" s="588">
        <f>K16-K17-K20</f>
        <v>2.8</v>
      </c>
      <c r="L21" s="577">
        <f t="shared" si="27"/>
        <v>6.6430000000000007</v>
      </c>
      <c r="M21" s="577">
        <f t="shared" si="27"/>
        <v>13.468000000000002</v>
      </c>
      <c r="N21" s="577">
        <f t="shared" si="27"/>
        <v>16.185000000000002</v>
      </c>
      <c r="O21" s="577">
        <f t="shared" si="27"/>
        <v>19.445399999999999</v>
      </c>
      <c r="P21" s="650">
        <f t="shared" si="27"/>
        <v>23.357880000000002</v>
      </c>
      <c r="Q21" s="662"/>
    </row>
    <row r="22" spans="3:18" ht="17" thickBot="1" x14ac:dyDescent="0.25">
      <c r="C22" s="640"/>
      <c r="D22" s="641"/>
      <c r="E22" s="641"/>
      <c r="F22" s="641"/>
      <c r="G22" s="641"/>
      <c r="H22" s="601"/>
      <c r="I22" s="588"/>
      <c r="J22" s="642">
        <f>(J21-I21)/I21</f>
        <v>0.35934176945980439</v>
      </c>
      <c r="K22" s="642">
        <f>(K21-J21)/J21</f>
        <v>-1.0547591574912483</v>
      </c>
      <c r="L22" s="630">
        <f>(L21-K21)/K21</f>
        <v>1.3725000000000005</v>
      </c>
      <c r="M22" s="630">
        <f t="shared" ref="M22" si="28">(M21-L21)/L21</f>
        <v>1.0273972602739727</v>
      </c>
      <c r="N22" s="630">
        <f t="shared" ref="N22" si="29">(N21-M21)/M21</f>
        <v>0.20173745173745175</v>
      </c>
      <c r="O22" s="630">
        <f t="shared" ref="O22" si="30">(O21-N21)/N21</f>
        <v>0.20144578313252992</v>
      </c>
      <c r="P22" s="647">
        <f t="shared" ref="P22" si="31">(P21-O21)/O21</f>
        <v>0.2012033694344165</v>
      </c>
      <c r="Q22" s="662">
        <f>AVERAGE(L22:P22)</f>
        <v>0.6008567729156743</v>
      </c>
    </row>
    <row r="23" spans="3:18" ht="16" x14ac:dyDescent="0.2">
      <c r="C23" s="296" t="s">
        <v>51</v>
      </c>
      <c r="D23" s="297" t="str">
        <f>IFERROR(D21/D5,"")</f>
        <v/>
      </c>
      <c r="E23" s="298" t="str">
        <f>IFERROR(E21/E5,"")</f>
        <v/>
      </c>
      <c r="F23" s="298" t="str">
        <f>IFERROR(F21/F5,"")</f>
        <v/>
      </c>
      <c r="G23" s="298" t="str">
        <f>IFERROR(G21/G5,"")</f>
        <v/>
      </c>
      <c r="H23" s="602"/>
      <c r="I23" s="619">
        <f t="shared" ref="I23:P23" si="32">IFERROR(I21/I5,"")</f>
        <v>-4.702</v>
      </c>
      <c r="J23" s="619">
        <f t="shared" si="32"/>
        <v>-5.1133000000000006</v>
      </c>
      <c r="K23" s="619">
        <f t="shared" si="32"/>
        <v>0.15909090909090906</v>
      </c>
      <c r="L23" s="619">
        <f t="shared" si="32"/>
        <v>0.2555</v>
      </c>
      <c r="M23" s="619">
        <f t="shared" si="32"/>
        <v>0.35442105263157897</v>
      </c>
      <c r="N23" s="619">
        <f t="shared" si="32"/>
        <v>0.35493421052631585</v>
      </c>
      <c r="O23" s="619">
        <f t="shared" si="32"/>
        <v>0.35536184210526317</v>
      </c>
      <c r="P23" s="657">
        <f t="shared" si="32"/>
        <v>0.35571820175438595</v>
      </c>
      <c r="Q23" s="663"/>
      <c r="R23" s="55"/>
    </row>
    <row r="24" spans="3:18" ht="16" x14ac:dyDescent="0.2">
      <c r="C24" s="339" t="s">
        <v>52</v>
      </c>
      <c r="D24" s="340" t="str">
        <f>IFERROR(D21/D26,"")</f>
        <v/>
      </c>
      <c r="E24" s="341" t="str">
        <f>IFERROR(E21/E26,"")</f>
        <v/>
      </c>
      <c r="F24" s="341" t="str">
        <f>IFERROR(F21/F26,"")</f>
        <v/>
      </c>
      <c r="G24" s="341" t="str">
        <f>IFERROR(G21/G26,"")</f>
        <v/>
      </c>
      <c r="H24" s="603"/>
      <c r="I24" s="589">
        <f t="shared" ref="I24:P24" si="33">IFERROR(I21/I26,"")</f>
        <v>-1.9797894736842105</v>
      </c>
      <c r="J24" s="589">
        <f t="shared" si="33"/>
        <v>-2.6912105263157895</v>
      </c>
      <c r="K24" s="589">
        <f t="shared" si="33"/>
        <v>0.13999999999999999</v>
      </c>
      <c r="L24" s="590">
        <f t="shared" si="33"/>
        <v>0.33215000000000006</v>
      </c>
      <c r="M24" s="590">
        <f t="shared" si="33"/>
        <v>0.64133333333333342</v>
      </c>
      <c r="N24" s="590">
        <f t="shared" si="33"/>
        <v>0.7707142857142858</v>
      </c>
      <c r="O24" s="590">
        <f t="shared" si="33"/>
        <v>0.8838818181818181</v>
      </c>
      <c r="P24" s="658">
        <f t="shared" si="33"/>
        <v>1.0617218181818182</v>
      </c>
      <c r="Q24" s="663"/>
      <c r="R24" s="55"/>
    </row>
    <row r="25" spans="3:18" ht="16" x14ac:dyDescent="0.2">
      <c r="C25" s="339" t="s">
        <v>186</v>
      </c>
      <c r="D25" s="626"/>
      <c r="E25" s="627"/>
      <c r="F25" s="627"/>
      <c r="G25" s="627"/>
      <c r="H25" s="628"/>
      <c r="I25" s="629"/>
      <c r="J25" s="630">
        <f>(J24-I24)/I24</f>
        <v>0.35934176945980434</v>
      </c>
      <c r="K25" s="630">
        <f>(K24-J24)/J24</f>
        <v>-1.0520211996166859</v>
      </c>
      <c r="L25" s="630">
        <f>(L24-K24)/K24</f>
        <v>1.3725000000000007</v>
      </c>
      <c r="M25" s="630">
        <f t="shared" ref="M25:P25" si="34">(M24-L24)/L24</f>
        <v>0.93085453359425951</v>
      </c>
      <c r="N25" s="630">
        <f t="shared" si="34"/>
        <v>0.2017374517374517</v>
      </c>
      <c r="O25" s="630">
        <f t="shared" si="34"/>
        <v>0.14683461117196034</v>
      </c>
      <c r="P25" s="647">
        <f t="shared" si="34"/>
        <v>0.2012033694344165</v>
      </c>
      <c r="Q25" s="662">
        <f>AVERAGE(L25:P25)</f>
        <v>0.57062599318761764</v>
      </c>
      <c r="R25" s="55"/>
    </row>
    <row r="26" spans="3:18" ht="17" thickBot="1" x14ac:dyDescent="0.25">
      <c r="C26" s="448" t="s">
        <v>53</v>
      </c>
      <c r="D26" s="449"/>
      <c r="E26" s="450"/>
      <c r="F26" s="450"/>
      <c r="G26" s="565"/>
      <c r="H26" s="604"/>
      <c r="I26" s="605">
        <v>19</v>
      </c>
      <c r="J26" s="605">
        <v>19</v>
      </c>
      <c r="K26" s="605">
        <v>20</v>
      </c>
      <c r="L26" s="605">
        <f t="shared" ref="L26" si="35">K26</f>
        <v>20</v>
      </c>
      <c r="M26" s="605">
        <v>21</v>
      </c>
      <c r="N26" s="605">
        <v>21</v>
      </c>
      <c r="O26" s="605">
        <v>22</v>
      </c>
      <c r="P26" s="659">
        <v>22</v>
      </c>
      <c r="Q26" s="662">
        <f>(P26-K26)/K26</f>
        <v>0.1</v>
      </c>
      <c r="R26" s="55"/>
    </row>
    <row r="27" spans="3:18" ht="17" thickBot="1" x14ac:dyDescent="0.25">
      <c r="C27" s="55"/>
      <c r="K27" s="303">
        <f>(K26-J26)/J26</f>
        <v>5.2631578947368418E-2</v>
      </c>
      <c r="L27" s="303">
        <f t="shared" ref="L27:P27" si="36">(L26-K26)/K26</f>
        <v>0</v>
      </c>
      <c r="M27" s="303">
        <f t="shared" si="36"/>
        <v>0.05</v>
      </c>
      <c r="N27" s="303">
        <f t="shared" si="36"/>
        <v>0</v>
      </c>
      <c r="O27" s="303">
        <f t="shared" si="36"/>
        <v>4.7619047619047616E-2</v>
      </c>
      <c r="P27" s="303">
        <f t="shared" si="36"/>
        <v>0</v>
      </c>
      <c r="Q27" s="55"/>
      <c r="R27" s="69" t="b">
        <v>1</v>
      </c>
    </row>
    <row r="28" spans="3:18" ht="22" thickBot="1" x14ac:dyDescent="0.3">
      <c r="C28" s="55"/>
      <c r="E28" s="678" t="s">
        <v>164</v>
      </c>
      <c r="F28" s="679"/>
      <c r="G28" s="679"/>
      <c r="H28" s="679"/>
      <c r="I28" s="680"/>
      <c r="J28" s="271"/>
      <c r="K28" s="271"/>
      <c r="L28" s="55"/>
      <c r="M28" s="74"/>
      <c r="N28" s="55"/>
      <c r="P28" s="55"/>
      <c r="Q28" s="55"/>
      <c r="R28" s="55"/>
    </row>
    <row r="29" spans="3:18" ht="19.5" customHeight="1" outlineLevel="1" thickBot="1" x14ac:dyDescent="0.3">
      <c r="C29" s="55"/>
      <c r="E29" s="672" t="s">
        <v>41</v>
      </c>
      <c r="F29" s="673"/>
      <c r="G29" s="673"/>
      <c r="H29" s="674"/>
      <c r="I29" s="308">
        <f>AVERAGE(L6:P6)</f>
        <v>0.30776223776223771</v>
      </c>
      <c r="L29" s="55"/>
      <c r="M29" s="74"/>
      <c r="N29" s="55"/>
      <c r="P29" s="55"/>
      <c r="Q29" s="55"/>
      <c r="R29" s="55"/>
    </row>
    <row r="30" spans="3:18" ht="17" outlineLevel="1" thickBot="1" x14ac:dyDescent="0.25">
      <c r="C30" s="55"/>
      <c r="E30" s="672" t="s">
        <v>165</v>
      </c>
      <c r="F30" s="673"/>
      <c r="G30" s="673"/>
      <c r="H30" s="674"/>
      <c r="I30" s="308">
        <v>0.2</v>
      </c>
      <c r="L30" s="55"/>
      <c r="M30" s="55"/>
      <c r="N30" s="55"/>
      <c r="O30" s="55"/>
      <c r="P30" s="55"/>
      <c r="Q30" s="55"/>
      <c r="R30" s="55"/>
    </row>
    <row r="31" spans="3:18" ht="17" outlineLevel="1" thickBot="1" x14ac:dyDescent="0.25">
      <c r="E31" s="675" t="s">
        <v>12</v>
      </c>
      <c r="F31" s="676"/>
      <c r="G31" s="676"/>
      <c r="H31" s="677"/>
      <c r="I31" s="308">
        <v>0.35</v>
      </c>
    </row>
    <row r="32" spans="3:18" outlineLevel="1" x14ac:dyDescent="0.2"/>
    <row r="36" spans="3:11" ht="16" x14ac:dyDescent="0.2">
      <c r="D36" s="669" t="s">
        <v>166</v>
      </c>
      <c r="E36" s="670"/>
      <c r="F36" s="670"/>
      <c r="G36" s="670"/>
      <c r="H36" s="670"/>
      <c r="I36" s="670"/>
      <c r="J36" s="670"/>
      <c r="K36" s="671"/>
    </row>
    <row r="37" spans="3:11" ht="16" x14ac:dyDescent="0.2">
      <c r="D37" s="309">
        <f t="shared" ref="D37:K37" si="37">D3</f>
        <v>2015</v>
      </c>
      <c r="E37" s="309">
        <f t="shared" si="37"/>
        <v>2016</v>
      </c>
      <c r="F37" s="309">
        <f t="shared" si="37"/>
        <v>2017</v>
      </c>
      <c r="G37" s="309">
        <f t="shared" si="37"/>
        <v>2018</v>
      </c>
      <c r="H37" s="309">
        <f t="shared" si="37"/>
        <v>2019</v>
      </c>
      <c r="I37" s="309">
        <f t="shared" si="37"/>
        <v>2020</v>
      </c>
      <c r="J37" s="309">
        <f t="shared" si="37"/>
        <v>2021</v>
      </c>
      <c r="K37" s="309">
        <f t="shared" si="37"/>
        <v>2022</v>
      </c>
    </row>
    <row r="38" spans="3:11" ht="16" x14ac:dyDescent="0.2">
      <c r="C38" s="75" t="s">
        <v>64</v>
      </c>
      <c r="D38" s="330"/>
      <c r="E38" s="331"/>
      <c r="F38" s="332"/>
      <c r="G38" s="329"/>
      <c r="H38" s="329"/>
      <c r="I38" s="329"/>
      <c r="J38" s="329"/>
      <c r="K38" s="333"/>
    </row>
    <row r="39" spans="3:11" x14ac:dyDescent="0.2">
      <c r="C39" s="76" t="s">
        <v>65</v>
      </c>
      <c r="D39" s="77" t="str">
        <f t="shared" ref="D39:K39" si="38">IFERROR(D5/D38,"")</f>
        <v/>
      </c>
      <c r="E39" s="78" t="str">
        <f t="shared" si="38"/>
        <v/>
      </c>
      <c r="F39" s="78" t="str">
        <f t="shared" si="38"/>
        <v/>
      </c>
      <c r="G39" s="78" t="str">
        <f t="shared" si="38"/>
        <v/>
      </c>
      <c r="H39" s="78" t="str">
        <f t="shared" si="38"/>
        <v/>
      </c>
      <c r="I39" s="78" t="str">
        <f t="shared" si="38"/>
        <v/>
      </c>
      <c r="J39" s="78" t="str">
        <f t="shared" si="38"/>
        <v/>
      </c>
      <c r="K39" s="79" t="str">
        <f t="shared" si="38"/>
        <v/>
      </c>
    </row>
    <row r="40" spans="3:11" ht="16" thickBot="1" x14ac:dyDescent="0.25">
      <c r="C40" s="76" t="s">
        <v>66</v>
      </c>
      <c r="D40" s="77" t="str">
        <f>IFERROR((E39-D39)/D39,"")</f>
        <v/>
      </c>
      <c r="E40" s="78" t="str">
        <f t="shared" ref="E40:K40" si="39">IFERROR((F39-E39)/E39,"")</f>
        <v/>
      </c>
      <c r="F40" s="78" t="str">
        <f t="shared" si="39"/>
        <v/>
      </c>
      <c r="G40" s="78" t="str">
        <f t="shared" si="39"/>
        <v/>
      </c>
      <c r="H40" s="78" t="str">
        <f t="shared" si="39"/>
        <v/>
      </c>
      <c r="I40" s="78" t="str">
        <f t="shared" si="39"/>
        <v/>
      </c>
      <c r="J40" s="78" t="str">
        <f t="shared" si="39"/>
        <v/>
      </c>
      <c r="K40" s="79" t="str">
        <f t="shared" si="39"/>
        <v/>
      </c>
    </row>
    <row r="41" spans="3:11" ht="16" x14ac:dyDescent="0.2">
      <c r="C41" s="334" t="s">
        <v>67</v>
      </c>
      <c r="D41" s="335"/>
      <c r="E41" s="336"/>
      <c r="F41" s="336"/>
      <c r="G41" s="337"/>
      <c r="H41" s="337"/>
      <c r="I41" s="337"/>
      <c r="J41" s="337"/>
      <c r="K41" s="338"/>
    </row>
    <row r="79" spans="7:16" x14ac:dyDescent="0.2">
      <c r="G79" s="47" t="s">
        <v>81</v>
      </c>
      <c r="I79" s="133">
        <f>IFERROR(AVERAGE(D12:K12),"")</f>
        <v>8.1439393939393936E-2</v>
      </c>
      <c r="J79" s="133">
        <f>IFERROR(AVERAGE(D12:K12),"")</f>
        <v>8.1439393939393936E-2</v>
      </c>
      <c r="K79" s="133">
        <f>IFERROR(AVERAGE(D12:K12),"")</f>
        <v>8.1439393939393936E-2</v>
      </c>
      <c r="L79" s="133">
        <f>IFERROR(AVERAGE(D12:K12),"")</f>
        <v>8.1439393939393936E-2</v>
      </c>
      <c r="M79" s="133">
        <f>IFERROR(AVERAGE(D12:K12),"")</f>
        <v>8.1439393939393936E-2</v>
      </c>
      <c r="N79" s="133">
        <f>IFERROR(AVERAGE(D12:K12),"")</f>
        <v>8.1439393939393936E-2</v>
      </c>
      <c r="O79" s="133">
        <f>IFERROR(AVERAGE(D12:K12),"")</f>
        <v>8.1439393939393936E-2</v>
      </c>
      <c r="P79" s="133">
        <f>IFERROR(AVERAGE(D12:K12),"")</f>
        <v>8.1439393939393936E-2</v>
      </c>
    </row>
    <row r="80" spans="7:16" x14ac:dyDescent="0.2">
      <c r="G80" s="47" t="s">
        <v>82</v>
      </c>
      <c r="I80" s="133">
        <f>IFERROR(AVERAGE(D23:K23),"")</f>
        <v>-3.218736363636364</v>
      </c>
      <c r="J80" s="133">
        <f>IFERROR(AVERAGE(D23:K23),"")</f>
        <v>-3.218736363636364</v>
      </c>
      <c r="K80" s="133">
        <f>IFERROR(AVERAGE(D23:K23),"")</f>
        <v>-3.218736363636364</v>
      </c>
      <c r="L80" s="133">
        <f>IFERROR(AVERAGE(D23:K23),"")</f>
        <v>-3.218736363636364</v>
      </c>
      <c r="M80" s="133">
        <f>IFERROR(AVERAGE(D23:K23),"")</f>
        <v>-3.218736363636364</v>
      </c>
      <c r="N80" s="133">
        <f>IFERROR(AVERAGE(D23:K23),"")</f>
        <v>-3.218736363636364</v>
      </c>
      <c r="O80" s="133">
        <f>IFERROR(AVERAGE(D23:K23),"")</f>
        <v>-3.218736363636364</v>
      </c>
      <c r="P80" s="133">
        <f>IFERROR(AVERAGE(D23:K23),"")</f>
        <v>-3.218736363636364</v>
      </c>
    </row>
    <row r="81" spans="3:16" x14ac:dyDescent="0.2">
      <c r="I81" s="134"/>
      <c r="J81" s="134"/>
      <c r="K81" s="134"/>
      <c r="L81" s="134"/>
      <c r="M81" s="134"/>
      <c r="N81" s="134"/>
      <c r="O81" s="134"/>
      <c r="P81" s="134"/>
    </row>
    <row r="94" spans="3:16" ht="16" x14ac:dyDescent="0.2">
      <c r="D94" s="669" t="s">
        <v>127</v>
      </c>
      <c r="E94" s="670"/>
      <c r="F94" s="670"/>
      <c r="G94" s="670"/>
      <c r="H94" s="670"/>
      <c r="I94" s="670"/>
      <c r="J94" s="670"/>
      <c r="K94" s="671"/>
    </row>
    <row r="95" spans="3:16" ht="17" thickBot="1" x14ac:dyDescent="0.25">
      <c r="D95" s="342">
        <f>D3</f>
        <v>2015</v>
      </c>
      <c r="E95" s="343">
        <f t="shared" ref="E95:K95" si="40">E3</f>
        <v>2016</v>
      </c>
      <c r="F95" s="343">
        <f t="shared" si="40"/>
        <v>2017</v>
      </c>
      <c r="G95" s="343">
        <f t="shared" si="40"/>
        <v>2018</v>
      </c>
      <c r="H95" s="343">
        <f t="shared" si="40"/>
        <v>2019</v>
      </c>
      <c r="I95" s="343">
        <f t="shared" si="40"/>
        <v>2020</v>
      </c>
      <c r="J95" s="343">
        <f t="shared" si="40"/>
        <v>2021</v>
      </c>
      <c r="K95" s="344">
        <f t="shared" si="40"/>
        <v>2022</v>
      </c>
      <c r="L95" s="106">
        <v>8</v>
      </c>
      <c r="M95" s="246"/>
      <c r="N95" s="240">
        <v>2010</v>
      </c>
    </row>
    <row r="96" spans="3:16" ht="16" x14ac:dyDescent="0.2">
      <c r="C96" s="223" t="s">
        <v>128</v>
      </c>
      <c r="D96" s="345"/>
      <c r="E96" s="346"/>
      <c r="F96" s="346"/>
      <c r="G96" s="346"/>
      <c r="H96" s="346"/>
      <c r="I96" s="346"/>
      <c r="J96" s="346"/>
      <c r="K96" s="347"/>
      <c r="L96" s="241" t="str">
        <f>C96</f>
        <v>EMEA</v>
      </c>
      <c r="M96" s="240">
        <f>VLOOKUP($L$96,C96:K99,L95+1,FALSE)</f>
        <v>0</v>
      </c>
      <c r="N96" s="240">
        <v>2011</v>
      </c>
    </row>
    <row r="97" spans="3:14" ht="16" x14ac:dyDescent="0.2">
      <c r="C97" s="224" t="s">
        <v>129</v>
      </c>
      <c r="D97" s="348"/>
      <c r="E97" s="349"/>
      <c r="F97" s="349"/>
      <c r="G97" s="349"/>
      <c r="H97" s="349"/>
      <c r="I97" s="349"/>
      <c r="J97" s="349"/>
      <c r="K97" s="350"/>
      <c r="L97" s="241" t="str">
        <f>C97</f>
        <v>APAC</v>
      </c>
      <c r="M97" s="240">
        <f>VLOOKUP(C97,C97:K100,L95+1,FALSE)</f>
        <v>0</v>
      </c>
      <c r="N97" s="240">
        <v>2012</v>
      </c>
    </row>
    <row r="98" spans="3:14" ht="16" x14ac:dyDescent="0.2">
      <c r="C98" s="224" t="s">
        <v>119</v>
      </c>
      <c r="D98" s="348"/>
      <c r="E98" s="349"/>
      <c r="F98" s="349"/>
      <c r="G98" s="349"/>
      <c r="H98" s="349"/>
      <c r="I98" s="349"/>
      <c r="J98" s="349"/>
      <c r="K98" s="350"/>
      <c r="L98" s="241" t="str">
        <f>C98</f>
        <v>LATAM</v>
      </c>
      <c r="M98" s="240">
        <f>VLOOKUP(C98,C98:K101,L95+1,FALSE)</f>
        <v>0</v>
      </c>
      <c r="N98" s="240">
        <v>2013</v>
      </c>
    </row>
    <row r="99" spans="3:14" ht="17" thickBot="1" x14ac:dyDescent="0.25">
      <c r="C99" s="225" t="s">
        <v>130</v>
      </c>
      <c r="D99" s="351"/>
      <c r="E99" s="352"/>
      <c r="F99" s="352"/>
      <c r="G99" s="352"/>
      <c r="H99" s="352"/>
      <c r="I99" s="352"/>
      <c r="J99" s="352"/>
      <c r="K99" s="353"/>
      <c r="L99" s="241" t="str">
        <f>C99</f>
        <v>NA</v>
      </c>
      <c r="M99" s="240">
        <f>VLOOKUP(C99,C99:K102,L95+1,FALSE)</f>
        <v>0</v>
      </c>
      <c r="N99" s="240">
        <v>2014</v>
      </c>
    </row>
    <row r="100" spans="3:14" x14ac:dyDescent="0.2">
      <c r="L100" s="240"/>
      <c r="M100" s="240"/>
      <c r="N100" s="240">
        <v>2015</v>
      </c>
    </row>
    <row r="101" spans="3:14" x14ac:dyDescent="0.2">
      <c r="D101" s="239">
        <v>3</v>
      </c>
      <c r="E101" s="239" t="str">
        <f>INDEX(C5:C23,D101)</f>
        <v>EBITDA</v>
      </c>
      <c r="F101" s="239"/>
      <c r="G101" s="239"/>
      <c r="H101" s="239"/>
      <c r="I101" s="239"/>
      <c r="J101" s="239"/>
      <c r="K101" s="239"/>
      <c r="L101" s="106"/>
      <c r="M101" s="240"/>
      <c r="N101" s="240">
        <v>2016</v>
      </c>
    </row>
    <row r="102" spans="3:14" x14ac:dyDescent="0.2">
      <c r="D102" s="239"/>
      <c r="E102" s="239">
        <f>VLOOKUP(E101,C5:K26,2,FALSE)</f>
        <v>0</v>
      </c>
      <c r="F102" s="239">
        <f>VLOOKUP(E101,C5:K26,3,FALSE)</f>
        <v>0</v>
      </c>
      <c r="G102" s="239">
        <f>VLOOKUP(E101,C5:K26,4,FALSE)</f>
        <v>0</v>
      </c>
      <c r="H102" s="239">
        <f>VLOOKUP(E101,C5:K26,5,FALSE)</f>
        <v>0</v>
      </c>
      <c r="I102" s="239">
        <f>VLOOKUP(E101,C5:K26,6,FALSE)</f>
        <v>0</v>
      </c>
      <c r="J102" s="239">
        <f>VLOOKUP(E101,C5:K26,7,FALSE)</f>
        <v>2</v>
      </c>
      <c r="K102" s="239">
        <f>VLOOKUP(E101,C5:K26,8,FALSE)</f>
        <v>2</v>
      </c>
      <c r="L102" s="106">
        <f>VLOOKUP(E101,C5:K26,9,FALSE)</f>
        <v>6.6999999999999993</v>
      </c>
      <c r="M102" s="240"/>
      <c r="N102" s="240">
        <v>2017</v>
      </c>
    </row>
    <row r="103" spans="3:14" x14ac:dyDescent="0.2">
      <c r="D103" s="239">
        <v>2</v>
      </c>
      <c r="E103" s="239" t="str">
        <f>INDEX(C5:C23,D103)</f>
        <v>Sales Growth %</v>
      </c>
      <c r="F103" s="239"/>
      <c r="G103" s="239"/>
      <c r="H103" s="239"/>
      <c r="I103" s="239"/>
      <c r="J103" s="239"/>
      <c r="K103" s="239"/>
      <c r="L103" s="106"/>
      <c r="M103" s="240"/>
      <c r="N103" s="240"/>
    </row>
    <row r="104" spans="3:14" x14ac:dyDescent="0.2">
      <c r="D104" s="73"/>
      <c r="E104" s="239">
        <f>VLOOKUP(E103,C5:K26,2,FALSE)</f>
        <v>0</v>
      </c>
      <c r="F104" s="239" t="str">
        <f>VLOOKUP(E103,C5:K26,3,FALSE)</f>
        <v/>
      </c>
      <c r="G104" s="239" t="str">
        <f>VLOOKUP(E103,C5:K26,4,FALSE)</f>
        <v/>
      </c>
      <c r="H104" s="239" t="str">
        <f>VLOOKUP(E103,C5:K26,5,FALSE)</f>
        <v/>
      </c>
      <c r="I104" s="239" t="str">
        <f>VLOOKUP(E103,C5:K26,6,FALSE)</f>
        <v/>
      </c>
      <c r="J104" s="239" t="str">
        <f>VLOOKUP(E103,C5:K26,7,FALSE)</f>
        <v/>
      </c>
      <c r="K104" s="239">
        <f>VLOOKUP(E103,C5:K26,8,FALSE)</f>
        <v>0.25</v>
      </c>
      <c r="L104" s="239">
        <f>VLOOKUP(E103,C5:K26,9,FALSE)</f>
        <v>0.76000000000000012</v>
      </c>
    </row>
  </sheetData>
  <sheetProtection selectLockedCells="1"/>
  <mergeCells count="7">
    <mergeCell ref="D2:K2"/>
    <mergeCell ref="D94:K94"/>
    <mergeCell ref="D36:K36"/>
    <mergeCell ref="E29:H29"/>
    <mergeCell ref="E30:H30"/>
    <mergeCell ref="E31:H31"/>
    <mergeCell ref="E28:I28"/>
  </mergeCells>
  <conditionalFormatting sqref="R4:R5 R13:R17 R23:R27 L5:P5 L19:P21 R7:R9 R11 R19:R20 L13:P17 N6:P6 Q4:Q21 Q23:Q24 L23:P25 L9:P11">
    <cfRule type="expression" dxfId="19" priority="31">
      <formula>$R$27=FALSE</formula>
    </cfRule>
  </conditionalFormatting>
  <conditionalFormatting sqref="I29:I31">
    <cfRule type="expression" dxfId="18" priority="23">
      <formula>$R$27=FALSE</formula>
    </cfRule>
  </conditionalFormatting>
  <conditionalFormatting sqref="L7:P7">
    <cfRule type="expression" dxfId="17" priority="22">
      <formula>$R$27=FALSE</formula>
    </cfRule>
  </conditionalFormatting>
  <conditionalFormatting sqref="K10">
    <cfRule type="expression" dxfId="16" priority="19">
      <formula>$R$27=FALSE</formula>
    </cfRule>
  </conditionalFormatting>
  <conditionalFormatting sqref="K17">
    <cfRule type="expression" dxfId="15" priority="16">
      <formula>$R$27=FALSE</formula>
    </cfRule>
  </conditionalFormatting>
  <conditionalFormatting sqref="K25">
    <cfRule type="expression" dxfId="14" priority="14">
      <formula>$R$27=FALSE</formula>
    </cfRule>
  </conditionalFormatting>
  <conditionalFormatting sqref="J25">
    <cfRule type="expression" dxfId="13" priority="13">
      <formula>$R$27=FALSE</formula>
    </cfRule>
  </conditionalFormatting>
  <conditionalFormatting sqref="L8:P8">
    <cfRule type="expression" dxfId="12" priority="12">
      <formula>$R$27=FALSE</formula>
    </cfRule>
  </conditionalFormatting>
  <conditionalFormatting sqref="K8">
    <cfRule type="expression" dxfId="11" priority="11">
      <formula>$R$27=FALSE</formula>
    </cfRule>
  </conditionalFormatting>
  <conditionalFormatting sqref="J8">
    <cfRule type="expression" dxfId="10" priority="10">
      <formula>$R$27=FALSE</formula>
    </cfRule>
  </conditionalFormatting>
  <conditionalFormatting sqref="K9">
    <cfRule type="expression" dxfId="9" priority="9">
      <formula>$R$27=FALSE</formula>
    </cfRule>
  </conditionalFormatting>
  <conditionalFormatting sqref="J9">
    <cfRule type="expression" dxfId="8" priority="8">
      <formula>$R$27=FALSE</formula>
    </cfRule>
  </conditionalFormatting>
  <conditionalFormatting sqref="K13">
    <cfRule type="expression" dxfId="7" priority="7">
      <formula>$R$27=FALSE</formula>
    </cfRule>
  </conditionalFormatting>
  <conditionalFormatting sqref="Q6:Q22">
    <cfRule type="expression" dxfId="6" priority="6">
      <formula>$R$27=FALSE</formula>
    </cfRule>
  </conditionalFormatting>
  <conditionalFormatting sqref="L22:P22">
    <cfRule type="expression" dxfId="5" priority="5">
      <formula>$R$27=FALSE</formula>
    </cfRule>
  </conditionalFormatting>
  <conditionalFormatting sqref="Q25">
    <cfRule type="expression" dxfId="4" priority="2">
      <formula>$R$27=FALSE</formula>
    </cfRule>
  </conditionalFormatting>
  <conditionalFormatting sqref="Q26">
    <cfRule type="expression" dxfId="3" priority="1">
      <formula>$R$27=FALSE</formula>
    </cfRule>
  </conditionalFormatting>
  <pageMargins left="0.7" right="0.7" top="0.75" bottom="0.75" header="0.3" footer="0.3"/>
  <pageSetup paperSize="9" orientation="portrait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8" r:id="rId4" name="Check Box 4">
              <controlPr defaultSize="0" autoFill="0" autoLine="0" autoPict="0">
                <anchor moveWithCells="1">
                  <from>
                    <xdr:col>11</xdr:col>
                    <xdr:colOff>723900</xdr:colOff>
                    <xdr:row>28</xdr:row>
                    <xdr:rowOff>12700</xdr:rowOff>
                  </from>
                  <to>
                    <xdr:col>12</xdr:col>
                    <xdr:colOff>101600</xdr:colOff>
                    <xdr:row>29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5" name="Check Box 5">
              <controlPr defaultSize="0" autoFill="0" autoLine="0" autoPict="0">
                <anchor moveWithCells="1">
                  <from>
                    <xdr:col>11</xdr:col>
                    <xdr:colOff>736600</xdr:colOff>
                    <xdr:row>27</xdr:row>
                    <xdr:rowOff>25400</xdr:rowOff>
                  </from>
                  <to>
                    <xdr:col>12</xdr:col>
                    <xdr:colOff>114300</xdr:colOff>
                    <xdr:row>28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" r:id="rId6" name="Drop Down 6">
              <controlPr locked="0" defaultSize="0" autoLine="0" autoPict="0">
                <anchor moveWithCells="1">
                  <from>
                    <xdr:col>2</xdr:col>
                    <xdr:colOff>584200</xdr:colOff>
                    <xdr:row>101</xdr:row>
                    <xdr:rowOff>0</xdr:rowOff>
                  </from>
                  <to>
                    <xdr:col>3</xdr:col>
                    <xdr:colOff>0</xdr:colOff>
                    <xdr:row>102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" r:id="rId7" name="Drop Down 7">
              <controlPr locked="0" defaultSize="0" autoLine="0" autoPict="0">
                <anchor moveWithCells="1">
                  <from>
                    <xdr:col>2</xdr:col>
                    <xdr:colOff>596900</xdr:colOff>
                    <xdr:row>103</xdr:row>
                    <xdr:rowOff>25400</xdr:rowOff>
                  </from>
                  <to>
                    <xdr:col>3</xdr:col>
                    <xdr:colOff>0</xdr:colOff>
                    <xdr:row>104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" r:id="rId8" name="Drop Down 8">
              <controlPr defaultSize="0" autoLine="0" autoPict="0">
                <anchor moveWithCells="1">
                  <from>
                    <xdr:col>15</xdr:col>
                    <xdr:colOff>330200</xdr:colOff>
                    <xdr:row>79</xdr:row>
                    <xdr:rowOff>38100</xdr:rowOff>
                  </from>
                  <to>
                    <xdr:col>16</xdr:col>
                    <xdr:colOff>1003300</xdr:colOff>
                    <xdr:row>80</xdr:row>
                    <xdr:rowOff>76200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1:AD56"/>
  <sheetViews>
    <sheetView showGridLines="0" workbookViewId="0">
      <selection activeCell="K16" sqref="K16"/>
    </sheetView>
  </sheetViews>
  <sheetFormatPr baseColWidth="10" defaultColWidth="9.1640625" defaultRowHeight="16" outlineLevelRow="1" x14ac:dyDescent="0.2"/>
  <cols>
    <col min="1" max="1" width="4.1640625" style="55" customWidth="1"/>
    <col min="2" max="2" width="8.33203125" style="55" customWidth="1"/>
    <col min="3" max="3" width="39.33203125" style="55" customWidth="1"/>
    <col min="4" max="4" width="10.33203125" style="55" customWidth="1"/>
    <col min="5" max="6" width="9.33203125" style="55" bestFit="1" customWidth="1"/>
    <col min="7" max="7" width="9.1640625" style="55"/>
    <col min="8" max="8" width="9.83203125" style="55" customWidth="1"/>
    <col min="9" max="9" width="10" style="55" customWidth="1"/>
    <col min="10" max="10" width="10.5" style="55" customWidth="1"/>
    <col min="11" max="11" width="12.6640625" style="55" bestFit="1" customWidth="1"/>
    <col min="12" max="12" width="12.5" style="55" customWidth="1"/>
    <col min="13" max="13" width="9.6640625" style="55" customWidth="1"/>
    <col min="14" max="14" width="12.6640625" style="55" bestFit="1" customWidth="1"/>
    <col min="15" max="15" width="13.83203125" style="55" customWidth="1"/>
    <col min="16" max="16" width="14.5" style="55" customWidth="1"/>
    <col min="17" max="16384" width="9.1640625" style="55"/>
  </cols>
  <sheetData>
    <row r="1" spans="3:20" s="47" customFormat="1" thickBot="1" x14ac:dyDescent="0.25"/>
    <row r="2" spans="3:20" s="47" customFormat="1" ht="97" customHeight="1" thickBot="1" x14ac:dyDescent="0.25">
      <c r="C2" s="306"/>
      <c r="D2" s="665" t="s">
        <v>185</v>
      </c>
      <c r="E2" s="666"/>
      <c r="F2" s="666"/>
      <c r="G2" s="666"/>
      <c r="H2" s="667"/>
      <c r="I2" s="667"/>
      <c r="J2" s="667"/>
      <c r="K2" s="668"/>
    </row>
    <row r="3" spans="3:20" ht="15" customHeight="1" thickBot="1" x14ac:dyDescent="0.25"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3:20" ht="15" customHeight="1" thickBot="1" x14ac:dyDescent="0.25">
      <c r="C4" s="365" t="s">
        <v>163</v>
      </c>
      <c r="D4" s="387">
        <f>'Income Statement_P&amp;L'!E3</f>
        <v>2016</v>
      </c>
      <c r="E4" s="366">
        <f>'Income Statement_P&amp;L'!F3</f>
        <v>2017</v>
      </c>
      <c r="F4" s="366">
        <f>'Income Statement_P&amp;L'!G3</f>
        <v>2018</v>
      </c>
      <c r="G4" s="366">
        <f>'Income Statement_P&amp;L'!H3</f>
        <v>2019</v>
      </c>
      <c r="H4" s="366">
        <f>'Income Statement_P&amp;L'!I3</f>
        <v>2020</v>
      </c>
      <c r="I4" s="366">
        <f>'Income Statement_P&amp;L'!J3</f>
        <v>2021</v>
      </c>
      <c r="J4" s="388">
        <f>'Income Statement_P&amp;L'!K3</f>
        <v>2022</v>
      </c>
      <c r="K4" s="356">
        <f t="shared" ref="K4:O4" si="0">J4+1</f>
        <v>2023</v>
      </c>
      <c r="L4" s="354">
        <f t="shared" si="0"/>
        <v>2024</v>
      </c>
      <c r="M4" s="354">
        <f t="shared" si="0"/>
        <v>2025</v>
      </c>
      <c r="N4" s="354">
        <f t="shared" si="0"/>
        <v>2026</v>
      </c>
      <c r="O4" s="357">
        <f t="shared" si="0"/>
        <v>2027</v>
      </c>
      <c r="R4" s="684" t="s">
        <v>167</v>
      </c>
      <c r="S4" s="685"/>
      <c r="T4" s="686"/>
    </row>
    <row r="5" spans="3:20" ht="17" thickBot="1" x14ac:dyDescent="0.25">
      <c r="C5" s="369" t="s">
        <v>143</v>
      </c>
      <c r="D5" s="371"/>
      <c r="E5" s="370"/>
      <c r="F5" s="370"/>
      <c r="G5" s="370"/>
      <c r="H5" s="370"/>
      <c r="I5" s="370"/>
      <c r="J5" s="372"/>
      <c r="K5" s="371"/>
      <c r="L5" s="370"/>
      <c r="M5" s="370"/>
      <c r="N5" s="370"/>
      <c r="O5" s="372"/>
      <c r="R5" s="687"/>
      <c r="S5" s="688"/>
      <c r="T5" s="689"/>
    </row>
    <row r="6" spans="3:20" ht="17" thickBot="1" x14ac:dyDescent="0.25">
      <c r="C6" s="270" t="s">
        <v>68</v>
      </c>
      <c r="D6" s="389"/>
      <c r="E6" s="368"/>
      <c r="F6" s="368"/>
      <c r="G6" s="494"/>
      <c r="H6" s="494"/>
      <c r="I6" s="495"/>
      <c r="J6" s="496">
        <v>1</v>
      </c>
      <c r="K6" s="497">
        <v>4.4000000000000004</v>
      </c>
      <c r="L6" s="498">
        <f>K6*'Income Statement_P&amp;L'!$I$29+K6</f>
        <v>5.7541538461538462</v>
      </c>
      <c r="M6" s="498">
        <f>L6*'Income Statement_P&amp;L'!$I$29+L6</f>
        <v>7.5250651102743404</v>
      </c>
      <c r="N6" s="498">
        <f>M6*'Income Statement_P&amp;L'!$I$29+M6</f>
        <v>9.8409959879189124</v>
      </c>
      <c r="O6" s="499">
        <f>N6*'Income Statement_P&amp;L'!$I$29+N6</f>
        <v>12.86968293497004</v>
      </c>
    </row>
    <row r="7" spans="3:20" x14ac:dyDescent="0.2">
      <c r="C7" s="45" t="s">
        <v>144</v>
      </c>
      <c r="D7" s="361"/>
      <c r="E7" s="360"/>
      <c r="F7" s="360"/>
      <c r="G7" s="500"/>
      <c r="H7" s="500"/>
      <c r="I7" s="501"/>
      <c r="J7" s="502"/>
      <c r="K7" s="497">
        <v>0.5</v>
      </c>
      <c r="L7" s="498">
        <f>K7*'Income Statement_P&amp;L'!$I$29+K7</f>
        <v>0.65388111888111888</v>
      </c>
      <c r="M7" s="498">
        <f>L7*'Income Statement_P&amp;L'!$I$29+L7</f>
        <v>0.85512103525844785</v>
      </c>
      <c r="N7" s="498">
        <f>M7*'Income Statement_P&amp;L'!$I$29+M7</f>
        <v>1.1182949986271491</v>
      </c>
      <c r="O7" s="499">
        <f>N7*'Income Statement_P&amp;L'!$I$29+N7</f>
        <v>1.4624639698829591</v>
      </c>
      <c r="R7" s="247" t="s">
        <v>79</v>
      </c>
      <c r="S7" s="248"/>
      <c r="T7" s="249">
        <f>IFERROR(AVERAGE(E19:J19),"")</f>
        <v>0.16470588235294117</v>
      </c>
    </row>
    <row r="8" spans="3:20" ht="17" thickBot="1" x14ac:dyDescent="0.25">
      <c r="C8" s="45" t="s">
        <v>145</v>
      </c>
      <c r="D8" s="361"/>
      <c r="E8" s="360"/>
      <c r="F8" s="360"/>
      <c r="G8" s="500"/>
      <c r="H8" s="500"/>
      <c r="I8" s="501"/>
      <c r="J8" s="502"/>
      <c r="K8" s="497">
        <v>7</v>
      </c>
      <c r="L8" s="498">
        <f>K8*'Income Statement_P&amp;L'!$I$29+K8</f>
        <v>9.1543356643356635</v>
      </c>
      <c r="M8" s="498">
        <f>L8*'Income Statement_P&amp;L'!$I$29+L8</f>
        <v>11.971694493618269</v>
      </c>
      <c r="N8" s="498">
        <f>M8*'Income Statement_P&amp;L'!$I$29+M8</f>
        <v>15.656129980780086</v>
      </c>
      <c r="O8" s="499">
        <f>N8*'Income Statement_P&amp;L'!$I$29+N8</f>
        <v>20.474495578361427</v>
      </c>
      <c r="P8" s="53"/>
      <c r="Q8" s="255"/>
      <c r="R8" s="46" t="s">
        <v>80</v>
      </c>
      <c r="S8" s="250"/>
      <c r="T8" s="251">
        <f>IFERROR(AVERAGE(E20:J20),"")</f>
        <v>0.26874999999999999</v>
      </c>
    </row>
    <row r="9" spans="3:20" x14ac:dyDescent="0.2">
      <c r="C9" s="270" t="s">
        <v>138</v>
      </c>
      <c r="D9" s="361"/>
      <c r="E9" s="360"/>
      <c r="F9" s="360"/>
      <c r="G9" s="500"/>
      <c r="H9" s="500"/>
      <c r="I9" s="501"/>
      <c r="J9" s="502"/>
      <c r="K9" s="497">
        <f>J9*'Income Statement_P&amp;L'!$I$29+J9</f>
        <v>0</v>
      </c>
      <c r="L9" s="498">
        <f>K9*'Income Statement_P&amp;L'!$I$29+K9</f>
        <v>0</v>
      </c>
      <c r="M9" s="498">
        <f>L9*'Income Statement_P&amp;L'!$I$29+L9</f>
        <v>0</v>
      </c>
      <c r="N9" s="498">
        <f>M9*'Income Statement_P&amp;L'!$I$29+M9</f>
        <v>0</v>
      </c>
      <c r="O9" s="499">
        <f>N9*'Income Statement_P&amp;L'!$I$29+N9</f>
        <v>0</v>
      </c>
      <c r="P9" s="53"/>
      <c r="Q9" s="255"/>
    </row>
    <row r="10" spans="3:20" ht="17" thickBot="1" x14ac:dyDescent="0.25">
      <c r="C10" s="373" t="s">
        <v>134</v>
      </c>
      <c r="D10" s="390"/>
      <c r="E10" s="374"/>
      <c r="F10" s="374"/>
      <c r="G10" s="503"/>
      <c r="H10" s="503"/>
      <c r="I10" s="504"/>
      <c r="J10" s="505">
        <v>10</v>
      </c>
      <c r="K10" s="506">
        <v>13.8</v>
      </c>
      <c r="L10" s="507">
        <f>(K10*'Income Statement_P&amp;L'!$I$29)+K10</f>
        <v>18.04711888111888</v>
      </c>
      <c r="M10" s="507">
        <f>(L10*'Income Statement_P&amp;L'!$I$29)+L10</f>
        <v>23.601340573133157</v>
      </c>
      <c r="N10" s="507">
        <f>(M10*'Income Statement_P&amp;L'!$I$29)+M10</f>
        <v>30.864941962109313</v>
      </c>
      <c r="O10" s="508">
        <f>(N10*'Income Statement_P&amp;L'!$I$29)+N10</f>
        <v>40.36400556876967</v>
      </c>
      <c r="P10" s="53"/>
      <c r="Q10" s="255"/>
    </row>
    <row r="11" spans="3:20" ht="17" thickBot="1" x14ac:dyDescent="0.25">
      <c r="C11" s="369" t="s">
        <v>146</v>
      </c>
      <c r="D11" s="371"/>
      <c r="E11" s="370"/>
      <c r="F11" s="370"/>
      <c r="G11" s="509"/>
      <c r="H11" s="509"/>
      <c r="I11" s="510"/>
      <c r="J11" s="511"/>
      <c r="K11" s="512"/>
      <c r="L11" s="509"/>
      <c r="M11" s="509"/>
      <c r="N11" s="509"/>
      <c r="O11" s="513"/>
    </row>
    <row r="12" spans="3:20" x14ac:dyDescent="0.2">
      <c r="C12" s="270" t="s">
        <v>148</v>
      </c>
      <c r="D12" s="391"/>
      <c r="E12" s="375"/>
      <c r="F12" s="375"/>
      <c r="G12" s="514"/>
      <c r="H12" s="514"/>
      <c r="I12" s="515"/>
      <c r="J12" s="516"/>
      <c r="K12" s="497">
        <v>3.7</v>
      </c>
      <c r="L12" s="498">
        <f>K12*'Income Statement_P&amp;L'!$I$29+K12</f>
        <v>4.8387202797202793</v>
      </c>
      <c r="M12" s="498">
        <f>L12*'Income Statement_P&amp;L'!$I$29+L12</f>
        <v>6.327895660912513</v>
      </c>
      <c r="N12" s="498">
        <f>M12*'Income Statement_P&amp;L'!$I$29+M12</f>
        <v>8.275382989840903</v>
      </c>
      <c r="O12" s="499">
        <f>N12*'Income Statement_P&amp;L'!$I$29+N12</f>
        <v>10.822233377133896</v>
      </c>
    </row>
    <row r="13" spans="3:20" x14ac:dyDescent="0.2">
      <c r="C13" s="625" t="s">
        <v>183</v>
      </c>
      <c r="D13" s="361"/>
      <c r="E13" s="360"/>
      <c r="F13" s="360"/>
      <c r="G13" s="500"/>
      <c r="H13" s="500"/>
      <c r="I13" s="501"/>
      <c r="J13" s="502">
        <v>0</v>
      </c>
      <c r="K13" s="517">
        <v>1.1000000000000001</v>
      </c>
      <c r="L13" s="518">
        <v>0</v>
      </c>
      <c r="M13" s="518">
        <v>0</v>
      </c>
      <c r="N13" s="518">
        <v>0</v>
      </c>
      <c r="O13" s="519">
        <v>0</v>
      </c>
    </row>
    <row r="14" spans="3:20" ht="17" thickBot="1" x14ac:dyDescent="0.25">
      <c r="C14" s="373" t="s">
        <v>135</v>
      </c>
      <c r="D14" s="362"/>
      <c r="E14" s="363"/>
      <c r="F14" s="363"/>
      <c r="G14" s="520"/>
      <c r="H14" s="520"/>
      <c r="I14" s="521"/>
      <c r="J14" s="636"/>
      <c r="K14" s="523">
        <v>4.5999999999999996</v>
      </c>
      <c r="L14" s="524">
        <f>(K14*'Income Statement_P&amp;L'!$I$29)+K14</f>
        <v>6.0157062937062928</v>
      </c>
      <c r="M14" s="524">
        <f>(L14*'Income Statement_P&amp;L'!$I$29)+L14</f>
        <v>7.8671135243777188</v>
      </c>
      <c r="N14" s="524">
        <f>(M14*'Income Statement_P&amp;L'!$I$29)+M14</f>
        <v>10.28831398736977</v>
      </c>
      <c r="O14" s="525">
        <f>(N14*'Income Statement_P&amp;L'!$I$29)+N14</f>
        <v>13.454668522923221</v>
      </c>
    </row>
    <row r="15" spans="3:20" x14ac:dyDescent="0.2">
      <c r="C15" s="270" t="s">
        <v>69</v>
      </c>
      <c r="D15" s="362"/>
      <c r="E15" s="363"/>
      <c r="F15" s="363"/>
      <c r="G15" s="520"/>
      <c r="H15" s="520"/>
      <c r="I15" s="521"/>
      <c r="J15" s="522">
        <v>17</v>
      </c>
      <c r="K15" s="526">
        <v>24.8</v>
      </c>
      <c r="L15" s="527">
        <f>K15*'Income Statement_P&amp;L'!$I$29+K15</f>
        <v>32.432503496503493</v>
      </c>
      <c r="M15" s="527">
        <f>L15*'Income Statement_P&amp;L'!$I$29+L15</f>
        <v>42.414003348819008</v>
      </c>
      <c r="N15" s="527">
        <f>M15*'Income Statement_P&amp;L'!$I$29+M15</f>
        <v>55.467431931906589</v>
      </c>
      <c r="O15" s="528">
        <f>N15*'Income Statement_P&amp;L'!$I$29+N15</f>
        <v>72.538212906194758</v>
      </c>
    </row>
    <row r="16" spans="3:20" x14ac:dyDescent="0.2">
      <c r="C16" s="364" t="s">
        <v>147</v>
      </c>
      <c r="D16" s="358"/>
      <c r="E16" s="359"/>
      <c r="F16" s="359"/>
      <c r="G16" s="529"/>
      <c r="H16" s="529"/>
      <c r="I16" s="529"/>
      <c r="J16" s="530"/>
      <c r="K16" s="531"/>
      <c r="L16" s="529"/>
      <c r="M16" s="529"/>
      <c r="N16" s="529"/>
      <c r="O16" s="530"/>
    </row>
    <row r="17" spans="3:16" x14ac:dyDescent="0.2">
      <c r="C17" s="384" t="s">
        <v>141</v>
      </c>
      <c r="D17" s="238">
        <f>D6+D13+D9+D15</f>
        <v>0</v>
      </c>
      <c r="E17" s="52">
        <f>E13-E6+E9+E15</f>
        <v>0</v>
      </c>
      <c r="F17" s="52">
        <f>F13-F6+F9+F15</f>
        <v>0</v>
      </c>
      <c r="G17" s="532">
        <f>G13-G6+G15</f>
        <v>0</v>
      </c>
      <c r="H17" s="532">
        <f>H13-H6+H15</f>
        <v>0</v>
      </c>
      <c r="I17" s="535">
        <f>I13+I15-I6</f>
        <v>0</v>
      </c>
      <c r="J17" s="533">
        <f>J13+J15-J6</f>
        <v>16</v>
      </c>
      <c r="K17" s="534">
        <f>K13-K6+K15</f>
        <v>21.5</v>
      </c>
      <c r="L17" s="532">
        <f>L13-L6+L15</f>
        <v>26.678349650349645</v>
      </c>
      <c r="M17" s="532">
        <f>M13-M6+M15</f>
        <v>34.888938238544668</v>
      </c>
      <c r="N17" s="532">
        <f>N13-N6+N15</f>
        <v>45.626435943987673</v>
      </c>
      <c r="O17" s="533">
        <f>O13-O6+O15</f>
        <v>59.668529971224714</v>
      </c>
    </row>
    <row r="18" spans="3:16" ht="17" thickBot="1" x14ac:dyDescent="0.25">
      <c r="C18" s="385" t="s">
        <v>142</v>
      </c>
      <c r="D18" s="228">
        <f>D6+D13+D15</f>
        <v>0</v>
      </c>
      <c r="E18" s="51">
        <f>E13-E6+E15</f>
        <v>0</v>
      </c>
      <c r="F18" s="51">
        <f>F13-F6+F15</f>
        <v>0</v>
      </c>
      <c r="G18" s="535">
        <f>G13-G6+G15</f>
        <v>0</v>
      </c>
      <c r="H18" s="535">
        <f>H13-H6+H15</f>
        <v>0</v>
      </c>
      <c r="I18" s="535">
        <f>I13-I6+I15</f>
        <v>0</v>
      </c>
      <c r="J18" s="536">
        <f t="shared" ref="J18:O18" si="1">J13-J6+J15-J9</f>
        <v>16</v>
      </c>
      <c r="K18" s="537">
        <f t="shared" si="1"/>
        <v>21.5</v>
      </c>
      <c r="L18" s="538">
        <f t="shared" si="1"/>
        <v>26.678349650349645</v>
      </c>
      <c r="M18" s="538">
        <f t="shared" si="1"/>
        <v>34.888938238544668</v>
      </c>
      <c r="N18" s="538">
        <f t="shared" si="1"/>
        <v>45.626435943987673</v>
      </c>
      <c r="O18" s="539">
        <f t="shared" si="1"/>
        <v>59.668529971224714</v>
      </c>
    </row>
    <row r="19" spans="3:16" ht="17" x14ac:dyDescent="0.2">
      <c r="C19" s="386" t="s">
        <v>60</v>
      </c>
      <c r="D19" s="252" t="str">
        <f>IFERROR('Income Statement_P&amp;L'!E21/D15,"")</f>
        <v/>
      </c>
      <c r="E19" s="235" t="str">
        <f>IFERROR('Income Statement_P&amp;L'!F21/E15,"")</f>
        <v/>
      </c>
      <c r="F19" s="235" t="str">
        <f>IFERROR('Income Statement_P&amp;L'!G21/F15,"")</f>
        <v/>
      </c>
      <c r="G19" s="235" t="str">
        <f>IFERROR('Income Statement_P&amp;L'!H21/G15,"")</f>
        <v/>
      </c>
      <c r="H19" s="235" t="str">
        <f>IFERROR('Income Statement_P&amp;L'!I21/H15,"")</f>
        <v/>
      </c>
      <c r="I19" s="235" t="str">
        <f>IFERROR('Income Statement_P&amp;L'!J21/I15,"")</f>
        <v/>
      </c>
      <c r="J19" s="610">
        <f>IFERROR('Income Statement_P&amp;L'!K21/J15,"")</f>
        <v>0.16470588235294117</v>
      </c>
      <c r="K19" s="611">
        <f>IFERROR('Income Statement_P&amp;L'!L21/K15,"")</f>
        <v>0.26786290322580647</v>
      </c>
      <c r="L19" s="612">
        <f>IFERROR('Income Statement_P&amp;L'!M21/L15,"")</f>
        <v>0.41526242343431707</v>
      </c>
      <c r="M19" s="612">
        <f>IFERROR('Income Statement_P&amp;L'!N21/M15,"")</f>
        <v>0.38159566940409229</v>
      </c>
      <c r="N19" s="612">
        <f>IFERROR('Income Statement_P&amp;L'!O21/N15,"")</f>
        <v>0.35057328819318206</v>
      </c>
      <c r="O19" s="610">
        <f>IFERROR('Income Statement_P&amp;L'!P21/O15,"")</f>
        <v>0.32200793298018016</v>
      </c>
    </row>
    <row r="20" spans="3:16" x14ac:dyDescent="0.2">
      <c r="C20" s="386" t="s">
        <v>61</v>
      </c>
      <c r="D20" s="253" t="str">
        <f>IFERROR('Income Statement_P&amp;L'!E11/D18,"")</f>
        <v/>
      </c>
      <c r="E20" s="236" t="str">
        <f>IFERROR('Income Statement_P&amp;L'!F11/E18,"")</f>
        <v/>
      </c>
      <c r="F20" s="236" t="str">
        <f>IFERROR('Income Statement_P&amp;L'!G11/F18,"")</f>
        <v/>
      </c>
      <c r="G20" s="236" t="str">
        <f>IFERROR('Income Statement_P&amp;L'!H11/G18,"")</f>
        <v/>
      </c>
      <c r="H20" s="236" t="str">
        <f>IFERROR('Income Statement_P&amp;L'!I11/H18,"")</f>
        <v/>
      </c>
      <c r="I20" s="236" t="str">
        <f>IFERROR('Income Statement_P&amp;L'!J11/I18,"")</f>
        <v/>
      </c>
      <c r="J20" s="613">
        <f>IFERROR('Income Statement_P&amp;L'!K11/J18,"")</f>
        <v>0.26874999999999999</v>
      </c>
      <c r="K20" s="614">
        <f>IFERROR('Income Statement_P&amp;L'!L11/K18,"")</f>
        <v>0.48372093023255813</v>
      </c>
      <c r="L20" s="615">
        <f>IFERROR('Income Statement_P&amp;L'!M11/L18,"")</f>
        <v>0.78340678017637755</v>
      </c>
      <c r="M20" s="615">
        <f>IFERROR('Income Statement_P&amp;L'!N11/M18,"")</f>
        <v>0.71885248638183186</v>
      </c>
      <c r="N20" s="615">
        <f>IFERROR('Income Statement_P&amp;L'!O11/N18,"")</f>
        <v>0.65961759618802396</v>
      </c>
      <c r="O20" s="613">
        <f>IFERROR('Income Statement_P&amp;L'!P11/O18,"")</f>
        <v>0.60526378004312553</v>
      </c>
    </row>
    <row r="21" spans="3:16" ht="17" thickBot="1" x14ac:dyDescent="0.25">
      <c r="C21" s="478" t="s">
        <v>180</v>
      </c>
      <c r="D21" s="254" t="str">
        <f>IFERROR('Income Statement_P&amp;L'!E11/D17,"")</f>
        <v/>
      </c>
      <c r="E21" s="237" t="str">
        <f>IFERROR('Income Statement_P&amp;L'!F11/E17,"")</f>
        <v/>
      </c>
      <c r="F21" s="237" t="str">
        <f>IFERROR('Income Statement_P&amp;L'!G11/F17,"")</f>
        <v/>
      </c>
      <c r="G21" s="237" t="str">
        <f>IFERROR('Income Statement_P&amp;L'!H11/G17,"")</f>
        <v/>
      </c>
      <c r="H21" s="237" t="str">
        <f>IFERROR('Income Statement_P&amp;L'!I11/H17,"")</f>
        <v/>
      </c>
      <c r="I21" s="237" t="str">
        <f>IFERROR('Income Statement_P&amp;L'!J11/I17,"")</f>
        <v/>
      </c>
      <c r="J21" s="616">
        <f>IFERROR('Income Statement_P&amp;L'!K11/J17,"")</f>
        <v>0.26874999999999999</v>
      </c>
      <c r="K21" s="617">
        <f>IFERROR('Income Statement_P&amp;L'!L11/K17,"")</f>
        <v>0.48372093023255813</v>
      </c>
      <c r="L21" s="618">
        <f>IFERROR('Income Statement_P&amp;L'!M11/L17,"")</f>
        <v>0.78340678017637755</v>
      </c>
      <c r="M21" s="618">
        <f>IFERROR('Income Statement_P&amp;L'!N11/M17,"")</f>
        <v>0.71885248638183186</v>
      </c>
      <c r="N21" s="618">
        <f>IFERROR('Income Statement_P&amp;L'!O11/N17,"")</f>
        <v>0.65961759618802396</v>
      </c>
      <c r="O21" s="616">
        <f>IFERROR('Income Statement_P&amp;L'!P11/O17,"")</f>
        <v>0.60526378004312553</v>
      </c>
    </row>
    <row r="22" spans="3:16" ht="17" thickBot="1" x14ac:dyDescent="0.25">
      <c r="C22" s="380" t="s">
        <v>171</v>
      </c>
      <c r="D22" s="381" t="str">
        <f t="shared" ref="D22:I22" si="2">IFERROR(D10/D14,"")</f>
        <v/>
      </c>
      <c r="E22" s="382" t="str">
        <f t="shared" si="2"/>
        <v/>
      </c>
      <c r="F22" s="382" t="str">
        <f t="shared" si="2"/>
        <v/>
      </c>
      <c r="G22" s="382" t="str">
        <f t="shared" si="2"/>
        <v/>
      </c>
      <c r="H22" s="382" t="str">
        <f t="shared" si="2"/>
        <v/>
      </c>
      <c r="I22" s="382" t="str">
        <f t="shared" si="2"/>
        <v/>
      </c>
      <c r="J22" s="383" t="str">
        <f>IFERROR(J10/J14,"")</f>
        <v/>
      </c>
      <c r="K22" s="457">
        <f>IFERROR(K10/K14,"")</f>
        <v>3.0000000000000004</v>
      </c>
      <c r="L22" s="458">
        <f t="shared" ref="L22:O22" si="3">IFERROR(L10/L14,"")</f>
        <v>3.0000000000000004</v>
      </c>
      <c r="M22" s="458">
        <f t="shared" si="3"/>
        <v>3</v>
      </c>
      <c r="N22" s="458">
        <f t="shared" si="3"/>
        <v>3</v>
      </c>
      <c r="O22" s="459">
        <f t="shared" si="3"/>
        <v>3.0000000000000004</v>
      </c>
    </row>
    <row r="23" spans="3:16" outlineLevel="1" x14ac:dyDescent="0.2">
      <c r="M23" s="58"/>
      <c r="N23" s="58"/>
      <c r="O23" s="58"/>
    </row>
    <row r="24" spans="3:16" ht="17" outlineLevel="1" thickBot="1" x14ac:dyDescent="0.25"/>
    <row r="25" spans="3:16" ht="17" outlineLevel="1" thickBot="1" x14ac:dyDescent="0.25">
      <c r="C25" s="681" t="s">
        <v>172</v>
      </c>
      <c r="D25" s="682"/>
      <c r="E25" s="682"/>
      <c r="F25" s="682"/>
      <c r="G25" s="682"/>
      <c r="H25" s="682"/>
      <c r="I25" s="682"/>
      <c r="J25" s="682"/>
      <c r="K25" s="682"/>
      <c r="L25" s="682"/>
      <c r="M25" s="682"/>
      <c r="N25" s="682"/>
      <c r="O25" s="682"/>
      <c r="P25" s="683"/>
    </row>
    <row r="26" spans="3:16" ht="17" outlineLevel="1" thickBot="1" x14ac:dyDescent="0.25">
      <c r="C26" s="256"/>
      <c r="D26" s="257"/>
      <c r="E26" s="355">
        <f>'Income Statement_P&amp;L'!E3</f>
        <v>2016</v>
      </c>
      <c r="F26" s="355">
        <f>'Income Statement_P&amp;L'!F3</f>
        <v>2017</v>
      </c>
      <c r="G26" s="355">
        <f>'Income Statement_P&amp;L'!G3</f>
        <v>2018</v>
      </c>
      <c r="H26" s="355">
        <f>'Income Statement_P&amp;L'!H3</f>
        <v>2019</v>
      </c>
      <c r="I26" s="355">
        <f>'Income Statement_P&amp;L'!I3</f>
        <v>2020</v>
      </c>
      <c r="J26" s="355">
        <f>'Income Statement_P&amp;L'!J3</f>
        <v>2021</v>
      </c>
      <c r="K26" s="355">
        <f>'Income Statement_P&amp;L'!K3</f>
        <v>2022</v>
      </c>
      <c r="L26" s="356">
        <f t="shared" ref="L26" si="4">K26+1</f>
        <v>2023</v>
      </c>
      <c r="M26" s="354">
        <f t="shared" ref="M26" si="5">L26+1</f>
        <v>2024</v>
      </c>
      <c r="N26" s="354">
        <f t="shared" ref="N26" si="6">M26+1</f>
        <v>2025</v>
      </c>
      <c r="O26" s="354">
        <f t="shared" ref="O26" si="7">N26+1</f>
        <v>2026</v>
      </c>
      <c r="P26" s="357">
        <f t="shared" ref="P26" si="8">O26+1</f>
        <v>2027</v>
      </c>
    </row>
    <row r="27" spans="3:16" outlineLevel="1" x14ac:dyDescent="0.2">
      <c r="C27" s="692" t="s">
        <v>38</v>
      </c>
      <c r="D27" s="693"/>
      <c r="E27" s="482">
        <f t="shared" ref="E27:P27" si="9">D7</f>
        <v>0</v>
      </c>
      <c r="F27" s="482">
        <f t="shared" si="9"/>
        <v>0</v>
      </c>
      <c r="G27" s="482">
        <f t="shared" si="9"/>
        <v>0</v>
      </c>
      <c r="H27" s="482">
        <f t="shared" si="9"/>
        <v>0</v>
      </c>
      <c r="I27" s="482">
        <f t="shared" si="9"/>
        <v>0</v>
      </c>
      <c r="J27" s="482">
        <f t="shared" si="9"/>
        <v>0</v>
      </c>
      <c r="K27" s="482">
        <f t="shared" si="9"/>
        <v>0</v>
      </c>
      <c r="L27" s="483">
        <f t="shared" si="9"/>
        <v>0.5</v>
      </c>
      <c r="M27" s="482">
        <f t="shared" si="9"/>
        <v>0.65388111888111888</v>
      </c>
      <c r="N27" s="482">
        <f t="shared" si="9"/>
        <v>0.85512103525844785</v>
      </c>
      <c r="O27" s="482">
        <f t="shared" si="9"/>
        <v>1.1182949986271491</v>
      </c>
      <c r="P27" s="484">
        <f t="shared" si="9"/>
        <v>1.4624639698829591</v>
      </c>
    </row>
    <row r="28" spans="3:16" outlineLevel="1" x14ac:dyDescent="0.2">
      <c r="C28" s="690" t="s">
        <v>137</v>
      </c>
      <c r="D28" s="691"/>
      <c r="E28" s="485"/>
      <c r="F28" s="485" t="str">
        <f t="shared" ref="F28:J28" si="10">IFERROR((F27-E27)/E27,"")</f>
        <v/>
      </c>
      <c r="G28" s="485" t="str">
        <f t="shared" si="10"/>
        <v/>
      </c>
      <c r="H28" s="485" t="str">
        <f t="shared" si="10"/>
        <v/>
      </c>
      <c r="I28" s="485" t="str">
        <f t="shared" si="10"/>
        <v/>
      </c>
      <c r="J28" s="485" t="str">
        <f t="shared" si="10"/>
        <v/>
      </c>
      <c r="K28" s="485" t="str">
        <f>IFERROR((K27-J27)/J27,"")</f>
        <v/>
      </c>
      <c r="L28" s="486" t="str">
        <f t="shared" ref="L28" si="11">IFERROR((L27-K27)/K27,"")</f>
        <v/>
      </c>
      <c r="M28" s="485">
        <f t="shared" ref="M28" si="12">IFERROR((M27-L27)/L27,"")</f>
        <v>0.30776223776223777</v>
      </c>
      <c r="N28" s="485">
        <f t="shared" ref="N28" si="13">IFERROR((N27-M27)/M27,"")</f>
        <v>0.30776223776223777</v>
      </c>
      <c r="O28" s="485">
        <f t="shared" ref="O28" si="14">IFERROR((O27-N27)/N27,"")</f>
        <v>0.30776223776223766</v>
      </c>
      <c r="P28" s="487">
        <f t="shared" ref="P28" si="15">IFERROR((P27-O27)/O27,"")</f>
        <v>0.30776223776223777</v>
      </c>
    </row>
    <row r="29" spans="3:16" x14ac:dyDescent="0.2">
      <c r="C29" s="694" t="s">
        <v>62</v>
      </c>
      <c r="D29" s="695"/>
      <c r="E29" s="485" t="str">
        <f>IFERROR((E27/'Income Statement_P&amp;L'!#REF!)*365,"")</f>
        <v/>
      </c>
      <c r="F29" s="485" t="str">
        <f>IFERROR((F27/'Income Statement_P&amp;L'!#REF!)*365,"")</f>
        <v/>
      </c>
      <c r="G29" s="485" t="str">
        <f>IFERROR((G27/'Income Statement_P&amp;L'!#REF!)*365,"")</f>
        <v/>
      </c>
      <c r="H29" s="485" t="str">
        <f>IFERROR((H27/'Income Statement_P&amp;L'!#REF!)*365,"")</f>
        <v/>
      </c>
      <c r="I29" s="485" t="str">
        <f>IFERROR((I27/'Income Statement_P&amp;L'!#REF!)*365,"")</f>
        <v/>
      </c>
      <c r="J29" s="485" t="str">
        <f>IFERROR((J27/'Income Statement_P&amp;L'!#REF!)*365,"")</f>
        <v/>
      </c>
      <c r="K29" s="485" t="str">
        <f>IFERROR((K27/'Income Statement_P&amp;L'!#REF!)*365,"")</f>
        <v/>
      </c>
      <c r="L29" s="486" t="str">
        <f>IFERROR((L27/'Income Statement_P&amp;L'!#REF!)*365,"")</f>
        <v/>
      </c>
      <c r="M29" s="485" t="str">
        <f>IFERROR((M27/'Income Statement_P&amp;L'!#REF!)*365,"")</f>
        <v/>
      </c>
      <c r="N29" s="485" t="str">
        <f>IFERROR((N27/'Income Statement_P&amp;L'!#REF!)*365,"")</f>
        <v/>
      </c>
      <c r="O29" s="485" t="str">
        <f>IFERROR((O27/'Income Statement_P&amp;L'!#REF!)*365,"")</f>
        <v/>
      </c>
      <c r="P29" s="487" t="str">
        <f>IFERROR((P27/'Income Statement_P&amp;L'!#REF!)*365,"")</f>
        <v/>
      </c>
    </row>
    <row r="30" spans="3:16" x14ac:dyDescent="0.2">
      <c r="C30" s="692" t="s">
        <v>39</v>
      </c>
      <c r="D30" s="693"/>
      <c r="E30" s="488">
        <f t="shared" ref="E30:P30" si="16">D8</f>
        <v>0</v>
      </c>
      <c r="F30" s="488">
        <f t="shared" si="16"/>
        <v>0</v>
      </c>
      <c r="G30" s="488">
        <f t="shared" si="16"/>
        <v>0</v>
      </c>
      <c r="H30" s="488">
        <f t="shared" si="16"/>
        <v>0</v>
      </c>
      <c r="I30" s="488">
        <f t="shared" si="16"/>
        <v>0</v>
      </c>
      <c r="J30" s="488">
        <f t="shared" si="16"/>
        <v>0</v>
      </c>
      <c r="K30" s="488">
        <f t="shared" si="16"/>
        <v>0</v>
      </c>
      <c r="L30" s="489">
        <f t="shared" si="16"/>
        <v>7</v>
      </c>
      <c r="M30" s="488">
        <f t="shared" si="16"/>
        <v>9.1543356643356635</v>
      </c>
      <c r="N30" s="488">
        <f t="shared" si="16"/>
        <v>11.971694493618269</v>
      </c>
      <c r="O30" s="488">
        <f t="shared" si="16"/>
        <v>15.656129980780086</v>
      </c>
      <c r="P30" s="490">
        <f t="shared" si="16"/>
        <v>20.474495578361427</v>
      </c>
    </row>
    <row r="31" spans="3:16" x14ac:dyDescent="0.2">
      <c r="C31" s="696" t="s">
        <v>56</v>
      </c>
      <c r="D31" s="697"/>
      <c r="E31" s="485" t="str">
        <f>IFERROR((E30/'Income Statement_P&amp;L'!E5)*365,"")</f>
        <v/>
      </c>
      <c r="F31" s="485" t="str">
        <f>IFERROR((F30/'Income Statement_P&amp;L'!F5)*365,"")</f>
        <v/>
      </c>
      <c r="G31" s="485" t="str">
        <f>IFERROR((G30/'Income Statement_P&amp;L'!G5)*365,"")</f>
        <v/>
      </c>
      <c r="H31" s="485" t="str">
        <f>IFERROR((H30/'Income Statement_P&amp;L'!H5)*365,"")</f>
        <v/>
      </c>
      <c r="I31" s="485">
        <f>IFERROR((I30/'Income Statement_P&amp;L'!I5)*365,"")</f>
        <v>0</v>
      </c>
      <c r="J31" s="485">
        <f>IFERROR((J30/'Income Statement_P&amp;L'!J5)*365,"")</f>
        <v>0</v>
      </c>
      <c r="K31" s="485">
        <f>IFERROR((K30/'Income Statement_P&amp;L'!K5)*365,"")</f>
        <v>0</v>
      </c>
      <c r="L31" s="486">
        <f>IFERROR((L30/'Income Statement_P&amp;L'!L5)*365,"")</f>
        <v>98.269230769230759</v>
      </c>
      <c r="M31" s="485">
        <f>IFERROR((M30/'Income Statement_P&amp;L'!M5)*365,"")</f>
        <v>87.929803091645184</v>
      </c>
      <c r="N31" s="485">
        <f>IFERROR((N30/'Income Statement_P&amp;L'!N5)*365,"")</f>
        <v>95.826063380935707</v>
      </c>
      <c r="O31" s="485">
        <f>IFERROR((O30/'Income Statement_P&amp;L'!O5)*365,"")</f>
        <v>104.43142256916542</v>
      </c>
      <c r="P31" s="487">
        <f>IFERROR((P30/'Income Statement_P&amp;L'!P5)*365,"")</f>
        <v>113.80955905978803</v>
      </c>
    </row>
    <row r="32" spans="3:16" x14ac:dyDescent="0.2">
      <c r="C32" s="698" t="s">
        <v>137</v>
      </c>
      <c r="D32" s="699"/>
      <c r="E32" s="485"/>
      <c r="F32" s="485" t="str">
        <f t="shared" ref="F32:K32" si="17">IFERROR((F30-E30)/E30,"")</f>
        <v/>
      </c>
      <c r="G32" s="485" t="str">
        <f t="shared" si="17"/>
        <v/>
      </c>
      <c r="H32" s="485" t="str">
        <f t="shared" si="17"/>
        <v/>
      </c>
      <c r="I32" s="485" t="str">
        <f t="shared" si="17"/>
        <v/>
      </c>
      <c r="J32" s="485" t="str">
        <f t="shared" si="17"/>
        <v/>
      </c>
      <c r="K32" s="485" t="str">
        <f t="shared" si="17"/>
        <v/>
      </c>
      <c r="L32" s="486" t="str">
        <f t="shared" ref="L32" si="18">IFERROR((L30-K30)/K30,"")</f>
        <v/>
      </c>
      <c r="M32" s="485">
        <f t="shared" ref="M32" si="19">IFERROR((M30-L30)/L30,"")</f>
        <v>0.30776223776223766</v>
      </c>
      <c r="N32" s="485">
        <f t="shared" ref="N32" si="20">IFERROR((N30-M30)/M30,"")</f>
        <v>0.30776223776223782</v>
      </c>
      <c r="O32" s="485">
        <f t="shared" ref="O32" si="21">IFERROR((O30-N30)/N30,"")</f>
        <v>0.30776223776223766</v>
      </c>
      <c r="P32" s="487">
        <f t="shared" ref="P32" si="22">IFERROR((P30-O30)/O30,"")</f>
        <v>0.30776223776223782</v>
      </c>
    </row>
    <row r="33" spans="3:30" x14ac:dyDescent="0.2">
      <c r="C33" s="692" t="s">
        <v>54</v>
      </c>
      <c r="D33" s="693"/>
      <c r="E33" s="488">
        <f t="shared" ref="E33:K33" si="23">D12</f>
        <v>0</v>
      </c>
      <c r="F33" s="488">
        <f t="shared" si="23"/>
        <v>0</v>
      </c>
      <c r="G33" s="488">
        <f t="shared" si="23"/>
        <v>0</v>
      </c>
      <c r="H33" s="488">
        <f t="shared" si="23"/>
        <v>0</v>
      </c>
      <c r="I33" s="488">
        <f t="shared" si="23"/>
        <v>0</v>
      </c>
      <c r="J33" s="488">
        <f t="shared" si="23"/>
        <v>0</v>
      </c>
      <c r="K33" s="488">
        <f t="shared" si="23"/>
        <v>0</v>
      </c>
      <c r="L33" s="489">
        <f>K12</f>
        <v>3.7</v>
      </c>
      <c r="M33" s="488">
        <f>L12</f>
        <v>4.8387202797202793</v>
      </c>
      <c r="N33" s="488">
        <f>M12</f>
        <v>6.327895660912513</v>
      </c>
      <c r="O33" s="488">
        <f>N12</f>
        <v>8.275382989840903</v>
      </c>
      <c r="P33" s="490">
        <f>O12</f>
        <v>10.822233377133896</v>
      </c>
      <c r="Q33" s="132">
        <f>IFERROR(AVERAGE(E19:J19),"")</f>
        <v>0.16470588235294117</v>
      </c>
      <c r="R33" s="132">
        <f>IFERROR(AVERAGE(E19:J19),"")</f>
        <v>0.16470588235294117</v>
      </c>
      <c r="S33" s="132">
        <f>IFERROR(AVERAGE(E19:J19),"")</f>
        <v>0.16470588235294117</v>
      </c>
      <c r="T33" s="229">
        <f>IFERROR(AVERAGE(E19:J19),"")</f>
        <v>0.16470588235294117</v>
      </c>
      <c r="U33" s="229">
        <f>IFERROR(AVERAGE(E19:J19),"")</f>
        <v>0.16470588235294117</v>
      </c>
      <c r="V33" s="229">
        <f>IFERROR(AVERAGE(E19:J19),"")</f>
        <v>0.16470588235294117</v>
      </c>
      <c r="W33" s="229">
        <f>IFERROR(AVERAGE(E19:J19),"")</f>
        <v>0.16470588235294117</v>
      </c>
      <c r="X33" s="229">
        <f>IFERROR(AVERAGE(E19:J19),"")</f>
        <v>0.16470588235294117</v>
      </c>
      <c r="Y33" s="229">
        <f>IFERROR(AVERAGE(E19:J19),"")</f>
        <v>0.16470588235294117</v>
      </c>
      <c r="Z33" s="229">
        <f>IFERROR(AVERAGE(E19:J19),"")</f>
        <v>0.16470588235294117</v>
      </c>
      <c r="AA33" s="227"/>
      <c r="AB33" s="227"/>
      <c r="AC33" s="227"/>
      <c r="AD33" s="227"/>
    </row>
    <row r="34" spans="3:30" ht="17" thickBot="1" x14ac:dyDescent="0.25">
      <c r="C34" s="700" t="s">
        <v>55</v>
      </c>
      <c r="D34" s="701"/>
      <c r="E34" s="491" t="str">
        <f>IFERROR((E33/'Income Statement_P&amp;L'!#REF!)*365,"")</f>
        <v/>
      </c>
      <c r="F34" s="491" t="str">
        <f>IFERROR((F33/'Income Statement_P&amp;L'!#REF!)*365,"")</f>
        <v/>
      </c>
      <c r="G34" s="491" t="str">
        <f>IFERROR((G33/'Income Statement_P&amp;L'!#REF!)*365,"")</f>
        <v/>
      </c>
      <c r="H34" s="491" t="str">
        <f>IFERROR((H33/'Income Statement_P&amp;L'!#REF!)*365,"")</f>
        <v/>
      </c>
      <c r="I34" s="491" t="str">
        <f>IFERROR((I33/'Income Statement_P&amp;L'!#REF!)*365,"")</f>
        <v/>
      </c>
      <c r="J34" s="491" t="str">
        <f>IFERROR((J33/'Income Statement_P&amp;L'!#REF!)*365,"")</f>
        <v/>
      </c>
      <c r="K34" s="491" t="str">
        <f>IFERROR((K33/'Income Statement_P&amp;L'!#REF!)*365,"")</f>
        <v/>
      </c>
      <c r="L34" s="492" t="str">
        <f>IFERROR((L33/'Income Statement_P&amp;L'!#REF!)*365,"")</f>
        <v/>
      </c>
      <c r="M34" s="491" t="str">
        <f>IFERROR((M33/'Income Statement_P&amp;L'!#REF!)*365,"")</f>
        <v/>
      </c>
      <c r="N34" s="491" t="str">
        <f>IFERROR((N33/'Income Statement_P&amp;L'!#REF!)*365,"")</f>
        <v/>
      </c>
      <c r="O34" s="491" t="str">
        <f>IFERROR((O33/'Income Statement_P&amp;L'!#REF!)*365,"")</f>
        <v/>
      </c>
      <c r="P34" s="493" t="str">
        <f>IFERROR((P33/'Income Statement_P&amp;L'!#REF!)*365,"")</f>
        <v/>
      </c>
      <c r="Q34" s="132">
        <f>IFERROR(AVERAGE(E20:J20),"")</f>
        <v>0.26874999999999999</v>
      </c>
      <c r="R34" s="132">
        <f>IFERROR(AVERAGE(E20:J20),"")</f>
        <v>0.26874999999999999</v>
      </c>
      <c r="S34" s="132">
        <f>IFERROR(AVERAGE(E20:J20),"")</f>
        <v>0.26874999999999999</v>
      </c>
      <c r="T34" s="229">
        <f>IFERROR(AVERAGE(E20:J20),"")</f>
        <v>0.26874999999999999</v>
      </c>
      <c r="U34" s="229">
        <f>IFERROR(AVERAGE(E20:J20),"")</f>
        <v>0.26874999999999999</v>
      </c>
      <c r="V34" s="229">
        <f>IFERROR(AVERAGE(E20:J20),"")</f>
        <v>0.26874999999999999</v>
      </c>
      <c r="W34" s="229">
        <f>IFERROR(AVERAGE(E20:J20),"")</f>
        <v>0.26874999999999999</v>
      </c>
      <c r="X34" s="229">
        <f>IFERROR(AVERAGE(E20:J20),"")</f>
        <v>0.26874999999999999</v>
      </c>
      <c r="Y34" s="229">
        <f>IFERROR(AVERAGE(E20:J20),"")</f>
        <v>0.26874999999999999</v>
      </c>
      <c r="Z34" s="229">
        <f>IFERROR(AVERAGE(E20:J20),"")</f>
        <v>0.26874999999999999</v>
      </c>
      <c r="AA34" s="227"/>
      <c r="AB34" s="227"/>
      <c r="AC34" s="227"/>
      <c r="AD34" s="227"/>
    </row>
    <row r="35" spans="3:30" x14ac:dyDescent="0.2">
      <c r="C35" s="54" t="s">
        <v>172</v>
      </c>
      <c r="D35" s="129"/>
      <c r="E35" s="128">
        <f t="shared" ref="E35:P35" si="24">(E30+E27)-(E33)</f>
        <v>0</v>
      </c>
      <c r="F35" s="128">
        <f t="shared" si="24"/>
        <v>0</v>
      </c>
      <c r="G35" s="128">
        <f t="shared" si="24"/>
        <v>0</v>
      </c>
      <c r="H35" s="128">
        <f t="shared" si="24"/>
        <v>0</v>
      </c>
      <c r="I35" s="128">
        <f>(I30+I27)-(I33)</f>
        <v>0</v>
      </c>
      <c r="J35" s="128">
        <f t="shared" si="24"/>
        <v>0</v>
      </c>
      <c r="K35" s="128">
        <f t="shared" si="24"/>
        <v>0</v>
      </c>
      <c r="L35" s="128">
        <f t="shared" si="24"/>
        <v>3.8</v>
      </c>
      <c r="M35" s="128">
        <f t="shared" si="24"/>
        <v>4.9694965034965026</v>
      </c>
      <c r="N35" s="128">
        <f t="shared" si="24"/>
        <v>6.4989198679642035</v>
      </c>
      <c r="O35" s="128">
        <f t="shared" si="24"/>
        <v>8.4990419895663329</v>
      </c>
      <c r="P35" s="128">
        <f t="shared" si="24"/>
        <v>11.114726171110489</v>
      </c>
      <c r="Q35" s="131"/>
      <c r="R35" s="131"/>
      <c r="S35" s="131"/>
    </row>
    <row r="36" spans="3:30" x14ac:dyDescent="0.2">
      <c r="C36" s="54" t="s">
        <v>40</v>
      </c>
      <c r="D36" s="129"/>
      <c r="E36" s="130">
        <f t="shared" ref="E36:J36" si="25">((E27+E30)-(E33))-((D27+D30)-(D33))</f>
        <v>0</v>
      </c>
      <c r="F36" s="130">
        <f t="shared" si="25"/>
        <v>0</v>
      </c>
      <c r="G36" s="130">
        <f t="shared" si="25"/>
        <v>0</v>
      </c>
      <c r="H36" s="130">
        <f t="shared" si="25"/>
        <v>0</v>
      </c>
      <c r="I36" s="130">
        <f t="shared" si="25"/>
        <v>0</v>
      </c>
      <c r="J36" s="130">
        <f t="shared" si="25"/>
        <v>0</v>
      </c>
      <c r="K36" s="128">
        <v>2</v>
      </c>
      <c r="L36" s="128">
        <v>4</v>
      </c>
      <c r="M36" s="128">
        <v>4</v>
      </c>
      <c r="N36" s="128">
        <v>4</v>
      </c>
      <c r="O36" s="128">
        <v>5</v>
      </c>
      <c r="P36" s="128">
        <v>5</v>
      </c>
    </row>
    <row r="37" spans="3:30" x14ac:dyDescent="0.2">
      <c r="C37" s="126" t="s">
        <v>78</v>
      </c>
      <c r="D37" s="127"/>
      <c r="E37" s="130" t="str">
        <f t="shared" ref="E37:P37" si="26">IFERROR((E29+E31)-E34,"")</f>
        <v/>
      </c>
      <c r="F37" s="130" t="str">
        <f t="shared" si="26"/>
        <v/>
      </c>
      <c r="G37" s="130" t="str">
        <f t="shared" si="26"/>
        <v/>
      </c>
      <c r="H37" s="130" t="str">
        <f t="shared" si="26"/>
        <v/>
      </c>
      <c r="I37" s="130" t="str">
        <f t="shared" si="26"/>
        <v/>
      </c>
      <c r="J37" s="130" t="str">
        <f t="shared" si="26"/>
        <v/>
      </c>
      <c r="K37" s="130" t="str">
        <f t="shared" si="26"/>
        <v/>
      </c>
      <c r="L37" s="130" t="str">
        <f t="shared" si="26"/>
        <v/>
      </c>
      <c r="M37" s="130" t="str">
        <f t="shared" si="26"/>
        <v/>
      </c>
      <c r="N37" s="130" t="str">
        <f t="shared" si="26"/>
        <v/>
      </c>
      <c r="O37" s="130" t="str">
        <f t="shared" si="26"/>
        <v/>
      </c>
      <c r="P37" s="130" t="str">
        <f t="shared" si="26"/>
        <v/>
      </c>
    </row>
    <row r="38" spans="3:30" x14ac:dyDescent="0.2">
      <c r="C38" s="125" t="s">
        <v>37</v>
      </c>
      <c r="D38" s="258"/>
      <c r="E38" s="259" t="str">
        <f t="shared" ref="E38:P38" si="27">IFERROR((E13-E6)/E15,"")</f>
        <v/>
      </c>
      <c r="F38" s="259" t="str">
        <f t="shared" si="27"/>
        <v/>
      </c>
      <c r="G38" s="259" t="str">
        <f t="shared" si="27"/>
        <v/>
      </c>
      <c r="H38" s="259" t="str">
        <f t="shared" si="27"/>
        <v/>
      </c>
      <c r="I38" s="259" t="str">
        <f t="shared" si="27"/>
        <v/>
      </c>
      <c r="J38" s="259">
        <f t="shared" si="27"/>
        <v>-5.8823529411764705E-2</v>
      </c>
      <c r="K38" s="260">
        <f t="shared" si="27"/>
        <v>-0.13306451612903228</v>
      </c>
      <c r="L38" s="260">
        <f t="shared" si="27"/>
        <v>-0.17741935483870969</v>
      </c>
      <c r="M38" s="260">
        <f t="shared" si="27"/>
        <v>-0.17741935483870969</v>
      </c>
      <c r="N38" s="260">
        <f t="shared" si="27"/>
        <v>-0.17741935483870971</v>
      </c>
      <c r="O38" s="260">
        <f t="shared" si="27"/>
        <v>-0.17741935483870971</v>
      </c>
      <c r="P38" s="260" t="str">
        <f t="shared" si="27"/>
        <v/>
      </c>
    </row>
    <row r="39" spans="3:30" x14ac:dyDescent="0.2">
      <c r="C39" s="125"/>
      <c r="D39" s="258"/>
      <c r="E39" s="259"/>
      <c r="F39" s="259"/>
      <c r="G39" s="259"/>
      <c r="H39" s="259"/>
      <c r="I39" s="259"/>
      <c r="J39" s="259"/>
      <c r="K39" s="260"/>
      <c r="L39" s="260"/>
      <c r="M39" s="260"/>
      <c r="N39" s="260"/>
      <c r="O39" s="260"/>
      <c r="P39" s="260"/>
    </row>
    <row r="40" spans="3:30" x14ac:dyDescent="0.2">
      <c r="C40" s="125" t="s">
        <v>133</v>
      </c>
      <c r="D40" s="258"/>
      <c r="E40" s="259" t="str">
        <f>IFERROR(('Income Statement_P&amp;L'!#REF!-'Income Statement_P&amp;L'!#REF!)/'Income Statement_P&amp;L'!#REF!,"")</f>
        <v/>
      </c>
      <c r="F40" s="259" t="str">
        <f>IFERROR(('Income Statement_P&amp;L'!#REF!-'Income Statement_P&amp;L'!#REF!)/'Income Statement_P&amp;L'!#REF!,"")</f>
        <v/>
      </c>
      <c r="G40" s="259" t="str">
        <f>IFERROR(('Income Statement_P&amp;L'!#REF!-'Income Statement_P&amp;L'!#REF!)/'Income Statement_P&amp;L'!#REF!,"")</f>
        <v/>
      </c>
      <c r="H40" s="259" t="str">
        <f>IFERROR(('Income Statement_P&amp;L'!#REF!-'Income Statement_P&amp;L'!#REF!)/'Income Statement_P&amp;L'!#REF!,"")</f>
        <v/>
      </c>
      <c r="I40" s="259" t="str">
        <f>IFERROR(('Income Statement_P&amp;L'!#REF!-'Income Statement_P&amp;L'!#REF!)/'Income Statement_P&amp;L'!#REF!,"")</f>
        <v/>
      </c>
      <c r="J40" s="259" t="str">
        <f>IFERROR(('Income Statement_P&amp;L'!#REF!-'Income Statement_P&amp;L'!#REF!)/'Income Statement_P&amp;L'!#REF!,"")</f>
        <v/>
      </c>
      <c r="K40" s="460">
        <f>(J13-J6)/' Cash Flow'!J12</f>
        <v>-0.31250000000000006</v>
      </c>
      <c r="L40" s="460">
        <f>(K13-K6)/' Cash Flow'!K12</f>
        <v>-0.60628329965092764</v>
      </c>
      <c r="M40" s="460">
        <f>(L13-L6)/' Cash Flow'!L12</f>
        <v>-0.43831153611775187</v>
      </c>
      <c r="N40" s="460">
        <f>(M13-M6)/' Cash Flow'!M12</f>
        <v>-0.47396013795265723</v>
      </c>
      <c r="O40" s="460">
        <f>(N13-N6)/' Cash Flow'!N12</f>
        <v>-0.51053631952598133</v>
      </c>
      <c r="P40" s="460">
        <f>(O13-O6)/' Cash Flow'!O12</f>
        <v>-0.54871175060713828</v>
      </c>
    </row>
    <row r="41" spans="3:30" x14ac:dyDescent="0.2">
      <c r="C41" s="125" t="s">
        <v>162</v>
      </c>
      <c r="D41" s="258"/>
      <c r="E41" s="259"/>
      <c r="F41" s="259"/>
      <c r="G41" s="259"/>
      <c r="H41" s="259"/>
      <c r="I41" s="259"/>
      <c r="J41" s="259"/>
      <c r="K41" s="460">
        <f>(J13-J6)/'Income Statement_P&amp;L'!K7</f>
        <v>-0.1492537313432836</v>
      </c>
      <c r="L41" s="460">
        <f>(K13-K6)/'Income Statement_P&amp;L'!L7</f>
        <v>-0.28205128205128205</v>
      </c>
      <c r="M41" s="460">
        <f>(L13-L6)/'Income Statement_P&amp;L'!M7</f>
        <v>-0.24423403421705631</v>
      </c>
      <c r="N41" s="460">
        <f>(M13-M6)/'Income Statement_P&amp;L'!N7</f>
        <v>-0.26616670593783037</v>
      </c>
      <c r="O41" s="460">
        <f>(N13-N6)/'Income Statement_P&amp;L'!O7</f>
        <v>-0.29006897247921715</v>
      </c>
      <c r="P41" s="460">
        <f>(O13-O6)/'Income Statement_P&amp;L'!P7</f>
        <v>-0.3161177071290116</v>
      </c>
    </row>
    <row r="56" spans="13:13" x14ac:dyDescent="0.2">
      <c r="M56" s="70"/>
    </row>
  </sheetData>
  <sheetProtection selectLockedCells="1"/>
  <mergeCells count="12">
    <mergeCell ref="C29:D29"/>
    <mergeCell ref="C31:D31"/>
    <mergeCell ref="C32:D32"/>
    <mergeCell ref="C34:D34"/>
    <mergeCell ref="C33:D33"/>
    <mergeCell ref="C30:D30"/>
    <mergeCell ref="D2:K2"/>
    <mergeCell ref="C25:P25"/>
    <mergeCell ref="R4:T4"/>
    <mergeCell ref="R5:T5"/>
    <mergeCell ref="C28:D28"/>
    <mergeCell ref="C27:D27"/>
  </mergeCells>
  <dataValidations count="2">
    <dataValidation type="decimal" allowBlank="1" showInputMessage="1" showErrorMessage="1" error="El valor debe ser numérico" sqref="K12:O12 D9:O9 D6:O6 D13:O13 K7:O8 D15:F15 J15:O15" xr:uid="{00000000-0002-0000-0100-000000000000}">
      <formula1>-100000</formula1>
      <formula2>10000000</formula2>
    </dataValidation>
    <dataValidation type="decimal" allowBlank="1" showInputMessage="1" showErrorMessage="1" error="El valor debe ser numérico" sqref="E30:P30 E27:P27 D7:J8 D12:J12 E33:P33" xr:uid="{00000000-0002-0000-0100-000001000000}">
      <formula1>-100000</formula1>
      <formula2>1000000</formula2>
    </dataValidation>
  </dataValidations>
  <pageMargins left="0.7" right="0.7" top="0.75" bottom="0.75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T40"/>
  <sheetViews>
    <sheetView showGridLines="0" zoomScaleNormal="100" workbookViewId="0">
      <selection activeCell="L7" sqref="L7"/>
    </sheetView>
  </sheetViews>
  <sheetFormatPr baseColWidth="10" defaultColWidth="9.1640625" defaultRowHeight="16" x14ac:dyDescent="0.2"/>
  <cols>
    <col min="1" max="1" width="3.5" style="47" customWidth="1"/>
    <col min="2" max="2" width="9.5" style="55" customWidth="1"/>
    <col min="3" max="3" width="39" style="47" customWidth="1"/>
    <col min="4" max="4" width="13.1640625" style="47" bestFit="1" customWidth="1"/>
    <col min="5" max="5" width="9.6640625" style="47" bestFit="1" customWidth="1"/>
    <col min="6" max="9" width="10.6640625" style="47" bestFit="1" customWidth="1"/>
    <col min="10" max="10" width="11.83203125" style="47" bestFit="1" customWidth="1"/>
    <col min="11" max="12" width="10.6640625" style="47" bestFit="1" customWidth="1"/>
    <col min="13" max="15" width="11.6640625" style="47" bestFit="1" customWidth="1"/>
    <col min="16" max="16" width="9.1640625" style="47"/>
    <col min="17" max="17" width="11.6640625" style="47" bestFit="1" customWidth="1"/>
    <col min="18" max="16384" width="9.1640625" style="47"/>
  </cols>
  <sheetData>
    <row r="1" spans="2:20" s="305" customFormat="1" ht="15" x14ac:dyDescent="0.2"/>
    <row r="2" spans="2:20" thickBot="1" x14ac:dyDescent="0.25">
      <c r="B2" s="47"/>
    </row>
    <row r="3" spans="2:20" ht="97" customHeight="1" thickBot="1" x14ac:dyDescent="0.25">
      <c r="B3" s="47"/>
      <c r="C3" s="306"/>
      <c r="D3" s="665" t="s">
        <v>185</v>
      </c>
      <c r="E3" s="666"/>
      <c r="F3" s="666"/>
      <c r="G3" s="666"/>
      <c r="H3" s="667"/>
      <c r="I3" s="667"/>
      <c r="J3" s="667"/>
      <c r="K3" s="668"/>
    </row>
    <row r="4" spans="2:20" ht="17" thickBot="1" x14ac:dyDescent="0.25">
      <c r="B4" s="66"/>
      <c r="C4" s="275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</row>
    <row r="5" spans="2:20" ht="15" customHeight="1" thickBot="1" x14ac:dyDescent="0.25">
      <c r="B5" s="64"/>
      <c r="C5" s="365" t="s">
        <v>163</v>
      </c>
      <c r="D5" s="387">
        <f>'Income Statement_P&amp;L'!E3</f>
        <v>2016</v>
      </c>
      <c r="E5" s="366">
        <f>'Income Statement_P&amp;L'!F3</f>
        <v>2017</v>
      </c>
      <c r="F5" s="366">
        <f>'Income Statement_P&amp;L'!G3</f>
        <v>2018</v>
      </c>
      <c r="G5" s="553">
        <f>'Income Statement_P&amp;L'!H3</f>
        <v>2019</v>
      </c>
      <c r="H5" s="553">
        <f>'Income Statement_P&amp;L'!I3</f>
        <v>2020</v>
      </c>
      <c r="I5" s="553">
        <f>'Income Statement_P&amp;L'!J3</f>
        <v>2021</v>
      </c>
      <c r="J5" s="554">
        <f>'Income Statement_P&amp;L'!K3</f>
        <v>2022</v>
      </c>
      <c r="K5" s="555">
        <f>'Income Statement_P&amp;L'!L3</f>
        <v>2023</v>
      </c>
      <c r="L5" s="555">
        <f>'Income Statement_P&amp;L'!M3</f>
        <v>2024</v>
      </c>
      <c r="M5" s="555">
        <f>'Income Statement_P&amp;L'!N3</f>
        <v>2025</v>
      </c>
      <c r="N5" s="555">
        <f>'Income Statement_P&amp;L'!O3</f>
        <v>2026</v>
      </c>
      <c r="O5" s="555">
        <f>'Income Statement_P&amp;L'!P3</f>
        <v>2027</v>
      </c>
    </row>
    <row r="6" spans="2:20" ht="15" customHeight="1" x14ac:dyDescent="0.2">
      <c r="B6" s="64"/>
      <c r="C6" s="242" t="s">
        <v>156</v>
      </c>
      <c r="D6" s="392"/>
      <c r="E6" s="393"/>
      <c r="F6" s="394"/>
      <c r="G6" s="556"/>
      <c r="H6" s="556">
        <v>3</v>
      </c>
      <c r="I6" s="556">
        <v>3</v>
      </c>
      <c r="J6" s="556">
        <v>2</v>
      </c>
      <c r="K6" s="556">
        <v>2.5</v>
      </c>
      <c r="L6" s="556">
        <v>3</v>
      </c>
      <c r="M6" s="556">
        <v>3.5</v>
      </c>
      <c r="N6" s="556">
        <v>4</v>
      </c>
      <c r="O6" s="556">
        <v>4.5</v>
      </c>
    </row>
    <row r="7" spans="2:20" ht="15.75" customHeight="1" x14ac:dyDescent="0.2">
      <c r="C7" s="243" t="s">
        <v>182</v>
      </c>
      <c r="D7" s="396"/>
      <c r="E7" s="397"/>
      <c r="F7" s="398"/>
      <c r="G7" s="556"/>
      <c r="H7" s="556"/>
      <c r="I7" s="556"/>
      <c r="J7" s="556"/>
      <c r="K7" s="556"/>
      <c r="L7" s="556"/>
      <c r="M7" s="556"/>
      <c r="N7" s="556"/>
      <c r="O7" s="556"/>
      <c r="P7" s="395"/>
    </row>
    <row r="8" spans="2:20" ht="15.75" customHeight="1" x14ac:dyDescent="0.2">
      <c r="C8" s="243" t="s">
        <v>159</v>
      </c>
      <c r="D8" s="472"/>
      <c r="E8" s="399"/>
      <c r="F8" s="400"/>
      <c r="G8" s="556"/>
      <c r="H8" s="556"/>
      <c r="I8" s="556"/>
      <c r="J8" s="556"/>
      <c r="K8" s="540"/>
      <c r="L8" s="540"/>
      <c r="M8" s="540"/>
      <c r="N8" s="540"/>
      <c r="O8" s="540"/>
      <c r="P8" s="395"/>
      <c r="Q8" s="395"/>
      <c r="R8" s="395"/>
      <c r="S8" s="395"/>
      <c r="T8" s="395"/>
    </row>
    <row r="9" spans="2:20" x14ac:dyDescent="0.2">
      <c r="C9" s="244" t="s">
        <v>149</v>
      </c>
      <c r="D9" s="402"/>
      <c r="E9" s="401"/>
      <c r="F9" s="401"/>
      <c r="G9" s="541"/>
      <c r="H9" s="541"/>
      <c r="I9" s="541"/>
      <c r="J9" s="541"/>
      <c r="K9" s="541"/>
      <c r="L9" s="541"/>
      <c r="M9" s="541"/>
      <c r="N9" s="541"/>
      <c r="O9" s="541"/>
      <c r="P9" s="395"/>
      <c r="Q9" s="395"/>
      <c r="R9" s="395"/>
      <c r="S9" s="395"/>
      <c r="T9" s="395"/>
    </row>
    <row r="10" spans="2:20" x14ac:dyDescent="0.2">
      <c r="C10" s="244" t="s">
        <v>13</v>
      </c>
      <c r="D10" s="473"/>
      <c r="E10" s="403"/>
      <c r="F10" s="404"/>
      <c r="G10" s="557"/>
      <c r="H10" s="557"/>
      <c r="I10" s="557"/>
      <c r="J10" s="557"/>
      <c r="K10" s="557"/>
      <c r="L10" s="557"/>
      <c r="M10" s="557"/>
      <c r="N10" s="557"/>
      <c r="O10" s="557"/>
      <c r="P10" s="395"/>
      <c r="Q10" s="395"/>
      <c r="R10" s="395"/>
      <c r="S10" s="395"/>
      <c r="T10" s="395"/>
    </row>
    <row r="11" spans="2:20" ht="17" thickBot="1" x14ac:dyDescent="0.25">
      <c r="C11" s="479" t="s">
        <v>181</v>
      </c>
      <c r="D11" s="473"/>
      <c r="E11" s="403"/>
      <c r="F11" s="404"/>
      <c r="G11" s="557"/>
      <c r="H11" s="557">
        <f t="shared" ref="H11" si="0">SUM(H6:H10)</f>
        <v>3</v>
      </c>
      <c r="I11" s="557">
        <f>SUM(I6:I10)</f>
        <v>3</v>
      </c>
      <c r="J11" s="557">
        <f>SUM(J6:J10)</f>
        <v>2</v>
      </c>
      <c r="K11" s="557">
        <f t="shared" ref="K11:O11" si="1">SUM(K6:K10)</f>
        <v>2.5</v>
      </c>
      <c r="L11" s="557">
        <f t="shared" si="1"/>
        <v>3</v>
      </c>
      <c r="M11" s="557">
        <f t="shared" si="1"/>
        <v>3.5</v>
      </c>
      <c r="N11" s="557">
        <f t="shared" si="1"/>
        <v>4</v>
      </c>
      <c r="O11" s="557">
        <f t="shared" si="1"/>
        <v>4.5</v>
      </c>
      <c r="P11" s="395"/>
      <c r="Q11" s="395"/>
      <c r="R11" s="395"/>
      <c r="S11" s="395"/>
      <c r="T11" s="395"/>
    </row>
    <row r="12" spans="2:20" x14ac:dyDescent="0.2">
      <c r="C12" s="455" t="s">
        <v>150</v>
      </c>
      <c r="D12" s="49">
        <f>IFERROR((('Income Statement_P&amp;L'!E7-D6)-('Income Statement_P&amp;L'!E14)-('Income Statement_P&amp;L'!E17)-D9-D7-D10),)</f>
        <v>0</v>
      </c>
      <c r="E12" s="50">
        <f>IFERROR((('Income Statement_P&amp;L'!F7-E6)-('Income Statement_P&amp;L'!F14)-('Income Statement_P&amp;L'!F17)-E9-E7-E10),)</f>
        <v>0</v>
      </c>
      <c r="F12" s="50">
        <f>IFERROR((('Income Statement_P&amp;L'!G7-F6)-('Income Statement_P&amp;L'!G14)-('Income Statement_P&amp;L'!G17)-F9-F7-F10),)</f>
        <v>0</v>
      </c>
      <c r="G12" s="542"/>
      <c r="H12" s="542">
        <f>'Income Statement_P&amp;L'!I7-'Income Statement_P&amp;L'!I14-'Income Statement_P&amp;L'!I17-'Income Statement_P&amp;L'!I20-' Cash Flow'!H11</f>
        <v>-38.616</v>
      </c>
      <c r="I12" s="542">
        <f>'Income Statement_P&amp;L'!J7-'Income Statement_P&amp;L'!J14-'Income Statement_P&amp;L'!J17-'Income Statement_P&amp;L'!J20-' Cash Flow'!I11</f>
        <v>-52.133000000000003</v>
      </c>
      <c r="J12" s="542">
        <f>'Income Statement_P&amp;L'!K7-'Income Statement_P&amp;L'!K14-'Income Statement_P&amp;L'!K17-'Income Statement_P&amp;L'!K20-' Cash Flow'!J11</f>
        <v>3.1999999999999993</v>
      </c>
      <c r="K12" s="542">
        <f>'Income Statement_P&amp;L'!L7-'Income Statement_P&amp;L'!L14-'Income Statement_P&amp;L'!L17-'Income Statement_P&amp;L'!L20-' Cash Flow'!K11</f>
        <v>5.4430000000000014</v>
      </c>
      <c r="L12" s="542">
        <f>'Income Statement_P&amp;L'!M7-'Income Statement_P&amp;L'!M14-'Income Statement_P&amp;L'!M17-'Income Statement_P&amp;L'!M20-' Cash Flow'!L11</f>
        <v>13.128</v>
      </c>
      <c r="M12" s="542">
        <f>'Income Statement_P&amp;L'!N7-'Income Statement_P&amp;L'!N14-'Income Statement_P&amp;L'!N17-'Income Statement_P&amp;L'!N20-' Cash Flow'!M11</f>
        <v>15.877000000000002</v>
      </c>
      <c r="N12" s="542">
        <f>'Income Statement_P&amp;L'!O7-'Income Statement_P&amp;L'!O14-'Income Statement_P&amp;L'!O17-'Income Statement_P&amp;L'!O20-' Cash Flow'!N11</f>
        <v>19.275800000000004</v>
      </c>
      <c r="O12" s="542">
        <f>'Income Statement_P&amp;L'!P7-'Income Statement_P&amp;L'!P14-'Income Statement_P&amp;L'!P17-'Income Statement_P&amp;L'!P20-' Cash Flow'!O11</f>
        <v>23.454360000000001</v>
      </c>
      <c r="P12" s="395"/>
      <c r="Q12" s="395"/>
      <c r="R12" s="395"/>
      <c r="S12" s="395"/>
      <c r="T12" s="395"/>
    </row>
    <row r="13" spans="2:20" ht="17" thickBot="1" x14ac:dyDescent="0.25">
      <c r="C13" s="456" t="s">
        <v>77</v>
      </c>
      <c r="D13" s="474">
        <f>D12-Balance!E36</f>
        <v>0</v>
      </c>
      <c r="E13" s="454">
        <f>E12-Balance!F36</f>
        <v>0</v>
      </c>
      <c r="F13" s="454">
        <f>F12-Balance!G36</f>
        <v>0</v>
      </c>
      <c r="G13" s="542"/>
      <c r="H13" s="542">
        <f>H12-Balance!I36</f>
        <v>-38.616</v>
      </c>
      <c r="I13" s="542">
        <f>I12-Balance!J36</f>
        <v>-52.133000000000003</v>
      </c>
      <c r="J13" s="542">
        <f>J12-Balance!K36</f>
        <v>1.1999999999999993</v>
      </c>
      <c r="K13" s="542">
        <f>K12-Balance!L36</f>
        <v>1.4430000000000014</v>
      </c>
      <c r="L13" s="542">
        <f>L12-Balance!M36</f>
        <v>9.1280000000000001</v>
      </c>
      <c r="M13" s="542">
        <f>M12-Balance!N36</f>
        <v>11.877000000000002</v>
      </c>
      <c r="N13" s="542">
        <f>N12-Balance!O36</f>
        <v>14.275800000000004</v>
      </c>
      <c r="O13" s="542">
        <f>O12-Balance!P36</f>
        <v>18.454360000000001</v>
      </c>
      <c r="P13" s="395"/>
    </row>
    <row r="14" spans="2:20" x14ac:dyDescent="0.2">
      <c r="C14" s="451" t="s">
        <v>179</v>
      </c>
      <c r="D14" s="452"/>
      <c r="E14" s="453"/>
      <c r="F14" s="453"/>
      <c r="G14" s="461"/>
      <c r="H14" s="461" t="e">
        <f>(H12-G12)/G12</f>
        <v>#DIV/0!</v>
      </c>
      <c r="I14" s="461">
        <f>(I12-H12)/H12</f>
        <v>0.35003625440232039</v>
      </c>
      <c r="J14" s="461">
        <f>(J12-I12)/I12</f>
        <v>-1.0613814666334183</v>
      </c>
      <c r="K14" s="461">
        <f>(K12-J12)/J12</f>
        <v>0.70093750000000077</v>
      </c>
      <c r="L14" s="461">
        <f t="shared" ref="L14:O14" si="2">(L12-K12)/K12</f>
        <v>1.4119051993385994</v>
      </c>
      <c r="M14" s="461">
        <f t="shared" si="2"/>
        <v>0.20939975624619153</v>
      </c>
      <c r="N14" s="461">
        <f>(N12-M12)/M12</f>
        <v>0.21407066826226623</v>
      </c>
      <c r="O14" s="461">
        <f t="shared" si="2"/>
        <v>0.21677751377374721</v>
      </c>
    </row>
    <row r="15" spans="2:20" x14ac:dyDescent="0.2">
      <c r="C15" s="442" t="s">
        <v>177</v>
      </c>
      <c r="D15" s="300"/>
      <c r="E15" s="301"/>
      <c r="F15" s="301"/>
      <c r="G15" s="461"/>
      <c r="H15" s="461">
        <f>H12/'Income Statement_P&amp;L'!I5</f>
        <v>-4.827</v>
      </c>
      <c r="I15" s="461">
        <f>I12/'Income Statement_P&amp;L'!J5</f>
        <v>-5.2133000000000003</v>
      </c>
      <c r="J15" s="461">
        <f>J12/'Income Statement_P&amp;L'!K5</f>
        <v>0.18181818181818177</v>
      </c>
      <c r="K15" s="461">
        <f>K12/'Income Statement_P&amp;L'!L5</f>
        <v>0.2093461538461539</v>
      </c>
      <c r="L15" s="461">
        <f>L12/'Income Statement_P&amp;L'!M5</f>
        <v>0.34547368421052632</v>
      </c>
      <c r="M15" s="461">
        <f>M12/'Income Statement_P&amp;L'!N5</f>
        <v>0.34817982456140356</v>
      </c>
      <c r="N15" s="461">
        <f>N12/'Income Statement_P&amp;L'!O5</f>
        <v>0.35226242690058485</v>
      </c>
      <c r="O15" s="461">
        <f>O12/'Income Statement_P&amp;L'!P5</f>
        <v>0.35718749999999999</v>
      </c>
    </row>
    <row r="16" spans="2:20" x14ac:dyDescent="0.2">
      <c r="C16" s="442" t="s">
        <v>173</v>
      </c>
      <c r="D16" s="452"/>
      <c r="E16" s="453"/>
      <c r="F16" s="453"/>
      <c r="G16" s="461"/>
      <c r="H16" s="461">
        <f>H13/'Income Statement_P&amp;L'!I7</f>
        <v>-19.308</v>
      </c>
      <c r="I16" s="461">
        <f>I13/'Income Statement_P&amp;L'!J7</f>
        <v>-26.066500000000001</v>
      </c>
      <c r="J16" s="461">
        <f>J13/'Income Statement_P&amp;L'!K7</f>
        <v>0.1791044776119402</v>
      </c>
      <c r="K16" s="461">
        <f>K13/'Income Statement_P&amp;L'!L7</f>
        <v>0.12333333333333345</v>
      </c>
      <c r="L16" s="461">
        <f>L13/'Income Statement_P&amp;L'!M7</f>
        <v>0.38743633276740241</v>
      </c>
      <c r="M16" s="461">
        <f>M13/'Income Statement_P&amp;L'!N7</f>
        <v>0.42009762308998305</v>
      </c>
      <c r="N16" s="461">
        <f>N13/'Income Statement_P&amp;L'!O7</f>
        <v>0.42078735144312401</v>
      </c>
      <c r="O16" s="461">
        <f>O12/'Income Statement_P&amp;L'!P7</f>
        <v>0.57610887096774199</v>
      </c>
    </row>
    <row r="17" spans="2:16" x14ac:dyDescent="0.2">
      <c r="C17" s="442" t="s">
        <v>178</v>
      </c>
      <c r="D17" s="452"/>
      <c r="E17" s="453"/>
      <c r="F17" s="453"/>
      <c r="G17" s="461"/>
      <c r="H17" s="461">
        <f>(H12/'Income Statement_P&amp;L'!I26)/Valuation!$H$7</f>
        <v>-0.33873684210526317</v>
      </c>
      <c r="I17" s="461">
        <f>(I12/'Income Statement_P&amp;L'!J26)/Valuation!$H$7</f>
        <v>-0.45730701754385966</v>
      </c>
      <c r="J17" s="461">
        <f>(J12/'Income Statement_P&amp;L'!K26)/Valuation!$H$7</f>
        <v>2.6666666666666661E-2</v>
      </c>
      <c r="K17" s="461">
        <f>(K12/'Income Statement_P&amp;L'!L26)/Valuation!$H$7</f>
        <v>4.5358333333333341E-2</v>
      </c>
      <c r="L17" s="461">
        <f>(L12/'Income Statement_P&amp;L'!M26)/Valuation!$H$7</f>
        <v>0.10419047619047618</v>
      </c>
      <c r="M17" s="461">
        <f>(M12/'Income Statement_P&amp;L'!N26)/Valuation!$H$7</f>
        <v>0.12600793650793654</v>
      </c>
      <c r="N17" s="461">
        <f>(N12/'Income Statement_P&amp;L'!O26)/Valuation!$H$7</f>
        <v>0.1460287878787879</v>
      </c>
      <c r="O17" s="461">
        <f>(O12/'Income Statement_P&amp;L'!P26)/Valuation!$H$7</f>
        <v>0.17768454545454546</v>
      </c>
    </row>
    <row r="18" spans="2:16" ht="18" thickBot="1" x14ac:dyDescent="0.25">
      <c r="C18" s="444" t="s">
        <v>151</v>
      </c>
      <c r="D18" s="245" t="str">
        <f>IFERROR(D12/'Income Statement_P&amp;L'!E26,"")</f>
        <v/>
      </c>
      <c r="E18" s="72" t="str">
        <f>IFERROR(E12/'Income Statement_P&amp;L'!F26,"")</f>
        <v/>
      </c>
      <c r="F18" s="72" t="str">
        <f>IFERROR(F12/'Income Statement_P&amp;L'!G26,"")</f>
        <v/>
      </c>
      <c r="G18" s="462"/>
      <c r="H18" s="462">
        <f>IFERROR(H13/'Income Statement_P&amp;L'!I26,"")</f>
        <v>-2.0324210526315789</v>
      </c>
      <c r="I18" s="462">
        <f>IFERROR(I13/'Income Statement_P&amp;L'!J26,"")</f>
        <v>-2.7438421052631581</v>
      </c>
      <c r="J18" s="462">
        <f>IFERROR(J13/'Income Statement_P&amp;L'!K26,"")</f>
        <v>5.9999999999999963E-2</v>
      </c>
      <c r="K18" s="462">
        <f>IFERROR(K13/'Income Statement_P&amp;L'!L26,"")</f>
        <v>7.2150000000000075E-2</v>
      </c>
      <c r="L18" s="462">
        <f>IFERROR(L13/'Income Statement_P&amp;L'!M26,"")</f>
        <v>0.43466666666666665</v>
      </c>
      <c r="M18" s="462">
        <f>IFERROR(M13/'Income Statement_P&amp;L'!N26,"")</f>
        <v>0.56557142857142872</v>
      </c>
      <c r="N18" s="462">
        <f>IFERROR(N13/'Income Statement_P&amp;L'!O26,"")</f>
        <v>0.64890000000000014</v>
      </c>
      <c r="O18" s="462">
        <f>IFERROR(O13/'Income Statement_P&amp;L'!P26,"")</f>
        <v>0.8388345454545455</v>
      </c>
    </row>
    <row r="19" spans="2:16" ht="17" thickBot="1" x14ac:dyDescent="0.25">
      <c r="B19" s="63"/>
      <c r="C19" s="273"/>
      <c r="D19" s="441"/>
      <c r="E19" s="274"/>
      <c r="F19" s="274"/>
      <c r="G19" s="558"/>
      <c r="H19" s="558"/>
      <c r="I19" s="559"/>
      <c r="J19" s="559"/>
      <c r="K19" s="463"/>
      <c r="L19" s="463"/>
      <c r="M19" s="463"/>
      <c r="N19" s="463"/>
      <c r="O19" s="560"/>
      <c r="P19" s="395"/>
    </row>
    <row r="20" spans="2:16" x14ac:dyDescent="0.2">
      <c r="C20" s="48" t="s">
        <v>174</v>
      </c>
      <c r="D20" s="49"/>
      <c r="E20" s="50"/>
      <c r="F20" s="50"/>
      <c r="G20" s="464"/>
      <c r="H20" s="464">
        <f>IFERROR((('Income Statement_P&amp;L'!I7-H6-H8)-('Income Statement_P&amp;L'!I14)-('Income Statement_P&amp;L'!I17)-H9-H7-H10),)</f>
        <v>-38.616</v>
      </c>
      <c r="I20" s="464">
        <f>IFERROR((('Income Statement_P&amp;L'!J7-I6-I8)-('Income Statement_P&amp;L'!J14)-('Income Statement_P&amp;L'!J17)-I9-I7-I10),)</f>
        <v>-52.133000000000003</v>
      </c>
      <c r="J20" s="464">
        <f>IFERROR((('Income Statement_P&amp;L'!K7-J6-J8)-('Income Statement_P&amp;L'!K14)-('Income Statement_P&amp;L'!K17)-J9-J7-J10),)</f>
        <v>3.1999999999999993</v>
      </c>
      <c r="K20" s="464">
        <f>IFERROR((('Income Statement_P&amp;L'!L7-K6-K8)-('Income Statement_P&amp;L'!L14)-('Income Statement_P&amp;L'!L17)-K9-K7-K10),)</f>
        <v>5.4430000000000014</v>
      </c>
      <c r="L20" s="464">
        <f>IFERROR((('Income Statement_P&amp;L'!M7-L6-L8)-('Income Statement_P&amp;L'!M14)-('Income Statement_P&amp;L'!M17)-L9-L7-L10),)</f>
        <v>13.127999999999998</v>
      </c>
      <c r="M20" s="464">
        <f>IFERROR((('Income Statement_P&amp;L'!N7-M6-M8)-('Income Statement_P&amp;L'!N14)-('Income Statement_P&amp;L'!N17)-M9-M7-M10),)</f>
        <v>15.877000000000002</v>
      </c>
      <c r="N20" s="464">
        <f>IFERROR((('Income Statement_P&amp;L'!O7-N6-N8)-('Income Statement_P&amp;L'!O14)-('Income Statement_P&amp;L'!O17)-N9-N7-N10),)</f>
        <v>19.275800000000004</v>
      </c>
      <c r="O20" s="464">
        <f>IFERROR((('Income Statement_P&amp;L'!P7-O6-O8)-('Income Statement_P&amp;L'!P14)-('Income Statement_P&amp;L'!P17)-O9-O7-O10),)</f>
        <v>23.454360000000001</v>
      </c>
    </row>
    <row r="21" spans="2:16" ht="18" thickBot="1" x14ac:dyDescent="0.25">
      <c r="C21" s="444" t="s">
        <v>175</v>
      </c>
      <c r="D21" s="245" t="str">
        <f>IFERROR(D20/'Income Statement_P&amp;L'!E26,"")</f>
        <v/>
      </c>
      <c r="E21" s="72" t="str">
        <f>IFERROR(E20/'Income Statement_P&amp;L'!F26,"")</f>
        <v/>
      </c>
      <c r="F21" s="72" t="str">
        <f>IFERROR(F20/'Income Statement_P&amp;L'!G26,"")</f>
        <v/>
      </c>
      <c r="G21" s="465"/>
      <c r="H21" s="465">
        <f>IFERROR(H20/'Income Statement_P&amp;L'!I26,"")</f>
        <v>-2.0324210526315789</v>
      </c>
      <c r="I21" s="465">
        <f>IFERROR(I20/'Income Statement_P&amp;L'!J26,"")</f>
        <v>-2.7438421052631581</v>
      </c>
      <c r="J21" s="465">
        <f>IFERROR(J20/'Income Statement_P&amp;L'!K26,"")</f>
        <v>0.15999999999999998</v>
      </c>
      <c r="K21" s="465">
        <f>IFERROR(K20/'Income Statement_P&amp;L'!L26,"")</f>
        <v>0.27215000000000006</v>
      </c>
      <c r="L21" s="465">
        <f>IFERROR(L20/'Income Statement_P&amp;L'!M26,"")</f>
        <v>0.62514285714285711</v>
      </c>
      <c r="M21" s="465">
        <f>IFERROR(M20/'Income Statement_P&amp;L'!N26,"")</f>
        <v>0.75604761904761919</v>
      </c>
      <c r="N21" s="465">
        <f>IFERROR(N20/'Income Statement_P&amp;L'!O26,"")</f>
        <v>0.87617272727272744</v>
      </c>
      <c r="O21" s="465">
        <f>IFERROR(O20/'Income Statement_P&amp;L'!P26,"")</f>
        <v>1.0661072727272727</v>
      </c>
      <c r="P21" s="395"/>
    </row>
    <row r="22" spans="2:16" ht="17" thickBot="1" x14ac:dyDescent="0.25">
      <c r="B22" s="63"/>
      <c r="C22" s="273"/>
      <c r="D22" s="441"/>
      <c r="E22" s="274"/>
      <c r="F22" s="274"/>
      <c r="G22" s="558"/>
      <c r="H22" s="558"/>
      <c r="I22" s="559"/>
      <c r="J22" s="559"/>
      <c r="K22" s="463"/>
      <c r="L22" s="463"/>
      <c r="M22" s="463"/>
      <c r="N22" s="463"/>
      <c r="O22" s="560"/>
      <c r="P22" s="395"/>
    </row>
    <row r="23" spans="2:16" ht="17" thickBot="1" x14ac:dyDescent="0.25">
      <c r="C23" s="48" t="s">
        <v>160</v>
      </c>
      <c r="D23" s="277"/>
      <c r="E23" s="278"/>
      <c r="F23" s="549"/>
      <c r="G23" s="405"/>
      <c r="H23" s="405">
        <f t="shared" ref="H23:I23" si="3">H6/H12</f>
        <v>-7.7688004972032321E-2</v>
      </c>
      <c r="I23" s="405">
        <f t="shared" si="3"/>
        <v>-5.7545124968829721E-2</v>
      </c>
      <c r="J23" s="405">
        <f t="shared" ref="J23:O23" si="4">J6/J12</f>
        <v>0.62500000000000011</v>
      </c>
      <c r="K23" s="405">
        <f t="shared" si="4"/>
        <v>0.45930553003858154</v>
      </c>
      <c r="L23" s="405">
        <f t="shared" si="4"/>
        <v>0.22851919561243145</v>
      </c>
      <c r="M23" s="405">
        <f t="shared" si="4"/>
        <v>0.22044466838823451</v>
      </c>
      <c r="N23" s="405">
        <f t="shared" si="4"/>
        <v>0.20751408501852059</v>
      </c>
      <c r="O23" s="405">
        <f t="shared" si="4"/>
        <v>0.19186198216451014</v>
      </c>
      <c r="P23" s="395"/>
    </row>
    <row r="24" spans="2:16" ht="17" thickBot="1" x14ac:dyDescent="0.25">
      <c r="C24" s="299" t="s">
        <v>161</v>
      </c>
      <c r="D24" s="279"/>
      <c r="E24" s="280"/>
      <c r="F24" s="550"/>
      <c r="G24" s="406"/>
      <c r="H24" s="406">
        <f t="shared" ref="H24:I24" si="5">(H6+H8+H7+H9+H10)/H12</f>
        <v>-7.7688004972032321E-2</v>
      </c>
      <c r="I24" s="406">
        <f t="shared" si="5"/>
        <v>-5.7545124968829721E-2</v>
      </c>
      <c r="J24" s="406">
        <f t="shared" ref="J24:O24" si="6">(J6+J8+J7+J9+J10)/J12</f>
        <v>0.62500000000000011</v>
      </c>
      <c r="K24" s="406">
        <f t="shared" si="6"/>
        <v>0.45930553003858154</v>
      </c>
      <c r="L24" s="406">
        <f t="shared" si="6"/>
        <v>0.22851919561243145</v>
      </c>
      <c r="M24" s="406">
        <f t="shared" si="6"/>
        <v>0.22044466838823451</v>
      </c>
      <c r="N24" s="406">
        <f t="shared" si="6"/>
        <v>0.20751408501852059</v>
      </c>
      <c r="O24" s="406">
        <f t="shared" si="6"/>
        <v>0.19186198216451014</v>
      </c>
      <c r="P24" s="395"/>
    </row>
    <row r="25" spans="2:16" ht="17" thickBot="1" x14ac:dyDescent="0.25">
      <c r="B25" s="63"/>
      <c r="C25" s="443"/>
      <c r="D25" s="441"/>
      <c r="E25" s="274"/>
      <c r="F25" s="274"/>
      <c r="G25" s="558"/>
      <c r="H25" s="558"/>
      <c r="I25" s="559"/>
      <c r="J25" s="559"/>
      <c r="K25" s="463"/>
      <c r="L25" s="463"/>
      <c r="M25" s="463"/>
      <c r="N25" s="463"/>
      <c r="O25" s="560"/>
      <c r="P25" s="395"/>
    </row>
    <row r="26" spans="2:16" ht="17" thickBot="1" x14ac:dyDescent="0.25">
      <c r="B26" s="66"/>
      <c r="C26" s="299" t="s">
        <v>157</v>
      </c>
      <c r="D26" s="281"/>
      <c r="E26" s="282"/>
      <c r="F26" s="551"/>
      <c r="G26" s="405"/>
      <c r="H26" s="405">
        <f>(H6)/'Income Statement_P&amp;L'!I5</f>
        <v>0.375</v>
      </c>
      <c r="I26" s="405">
        <f>(I6)/'Income Statement_P&amp;L'!J5</f>
        <v>0.3</v>
      </c>
      <c r="J26" s="405">
        <f>(J6)/'Income Statement_P&amp;L'!K5</f>
        <v>0.11363636363636363</v>
      </c>
      <c r="K26" s="405">
        <f>(K6)/'Income Statement_P&amp;L'!L5</f>
        <v>9.6153846153846159E-2</v>
      </c>
      <c r="L26" s="405">
        <f>(L6)/'Income Statement_P&amp;L'!M5</f>
        <v>7.8947368421052627E-2</v>
      </c>
      <c r="M26" s="405">
        <f>(M6)/'Income Statement_P&amp;L'!N5</f>
        <v>7.6754385964912283E-2</v>
      </c>
      <c r="N26" s="405">
        <f>(N6)/'Income Statement_P&amp;L'!O5</f>
        <v>7.3099415204678359E-2</v>
      </c>
      <c r="O26" s="405">
        <f>(O6)/'Income Statement_P&amp;L'!P5</f>
        <v>6.853070175438597E-2</v>
      </c>
      <c r="P26" s="395"/>
    </row>
    <row r="27" spans="2:16" ht="17" thickBot="1" x14ac:dyDescent="0.25">
      <c r="B27" s="66"/>
      <c r="C27" s="299" t="s">
        <v>158</v>
      </c>
      <c r="D27" s="283"/>
      <c r="E27" s="284"/>
      <c r="F27" s="552"/>
      <c r="G27" s="561"/>
      <c r="H27" s="561">
        <f>(H6+H7+H8+H9+H10)/'Income Statement_P&amp;L'!I5</f>
        <v>0.375</v>
      </c>
      <c r="I27" s="561">
        <f>(I6+I7+I8+I9+I10)/'Income Statement_P&amp;L'!J5</f>
        <v>0.3</v>
      </c>
      <c r="J27" s="561">
        <f>(J6+J7+J8+J9+J10)/'Income Statement_P&amp;L'!K5</f>
        <v>0.11363636363636363</v>
      </c>
      <c r="K27" s="561">
        <f>(K6+K7+K8+K9+K10)/'Income Statement_P&amp;L'!L5</f>
        <v>9.6153846153846159E-2</v>
      </c>
      <c r="L27" s="561">
        <f>(L6+L7+L8+L9+L10)/'Income Statement_P&amp;L'!M5</f>
        <v>7.8947368421052627E-2</v>
      </c>
      <c r="M27" s="561">
        <f>(M6+M7+M8+M9+M10)/'Income Statement_P&amp;L'!N5</f>
        <v>7.6754385964912283E-2</v>
      </c>
      <c r="N27" s="561">
        <f>(N6+N7+N8+N9+N10)/'Income Statement_P&amp;L'!O5</f>
        <v>7.3099415204678359E-2</v>
      </c>
      <c r="O27" s="561">
        <f>(O6+O7+O8+O9+O10)/'Income Statement_P&amp;L'!P5</f>
        <v>6.853070175438597E-2</v>
      </c>
      <c r="P27" s="395"/>
    </row>
    <row r="28" spans="2:16" x14ac:dyDescent="0.2">
      <c r="B28" s="66"/>
      <c r="C28" s="275"/>
      <c r="D28" s="276"/>
      <c r="E28" s="276"/>
      <c r="F28" s="276"/>
      <c r="G28" s="276"/>
      <c r="H28" s="276"/>
      <c r="I28" s="407"/>
      <c r="J28" s="407"/>
      <c r="K28" s="407"/>
      <c r="L28" s="407"/>
      <c r="M28" s="407"/>
      <c r="N28" s="407"/>
      <c r="O28" s="407"/>
      <c r="P28" s="395"/>
    </row>
    <row r="29" spans="2:16" x14ac:dyDescent="0.2">
      <c r="B29" s="63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</row>
    <row r="30" spans="2:16" x14ac:dyDescent="0.2">
      <c r="B30" s="63"/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</row>
    <row r="31" spans="2:16" x14ac:dyDescent="0.2">
      <c r="B31" s="63"/>
      <c r="C31" s="65"/>
      <c r="D31" s="65"/>
      <c r="E31" s="65"/>
      <c r="F31" s="65"/>
      <c r="G31" s="65"/>
      <c r="H31" s="65"/>
      <c r="I31" s="65"/>
      <c r="J31" s="304"/>
      <c r="K31" s="304"/>
      <c r="L31" s="304"/>
      <c r="M31" s="304"/>
      <c r="N31" s="304"/>
      <c r="O31" s="304"/>
    </row>
    <row r="32" spans="2:16" x14ac:dyDescent="0.2">
      <c r="B32" s="63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</row>
    <row r="33" spans="2:14" x14ac:dyDescent="0.2">
      <c r="B33" s="63"/>
      <c r="C33" s="65"/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65"/>
    </row>
    <row r="34" spans="2:14" x14ac:dyDescent="0.2">
      <c r="B34" s="63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</row>
    <row r="35" spans="2:14" x14ac:dyDescent="0.2">
      <c r="B35" s="5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</row>
    <row r="36" spans="2:14" x14ac:dyDescent="0.2">
      <c r="B36" s="58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</row>
    <row r="37" spans="2:14" x14ac:dyDescent="0.2">
      <c r="B37" s="58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</row>
    <row r="38" spans="2:14" x14ac:dyDescent="0.2">
      <c r="B38" s="58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</row>
    <row r="39" spans="2:14" x14ac:dyDescent="0.2">
      <c r="B39" s="58"/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68"/>
      <c r="N39" s="68"/>
    </row>
    <row r="40" spans="2:14" x14ac:dyDescent="0.2">
      <c r="B40" s="58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</row>
  </sheetData>
  <sheetProtection selectLockedCells="1"/>
  <mergeCells count="1">
    <mergeCell ref="D3:K3"/>
  </mergeCells>
  <dataValidations count="2">
    <dataValidation type="decimal" allowBlank="1" showInputMessage="1" showErrorMessage="1" error="El valor de la celda debe ser numérico" sqref="D6:O6 J7:O7" xr:uid="{00000000-0002-0000-0200-000001000000}">
      <formula1>0</formula1>
      <formula2>100000</formula2>
    </dataValidation>
    <dataValidation type="decimal" allowBlank="1" showInputMessage="1" showErrorMessage="1" error="El valor de la celda debe ser numérico" sqref="D9:O11" xr:uid="{00000000-0002-0000-0200-000000000000}">
      <formula1>-10000</formula1>
      <formula2>100000</formula2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86"/>
  <sheetViews>
    <sheetView showGridLines="0" tabSelected="1" topLeftCell="A3" zoomScaleNormal="100" workbookViewId="0">
      <selection activeCell="M3" sqref="M3"/>
    </sheetView>
  </sheetViews>
  <sheetFormatPr baseColWidth="10" defaultColWidth="9.1640625" defaultRowHeight="15" outlineLevelRow="1" x14ac:dyDescent="0.2"/>
  <cols>
    <col min="1" max="1" width="4" customWidth="1"/>
    <col min="2" max="2" width="12.33203125" customWidth="1"/>
    <col min="3" max="3" width="34" customWidth="1"/>
    <col min="4" max="4" width="9.5" customWidth="1"/>
    <col min="5" max="5" width="16.5" customWidth="1"/>
    <col min="7" max="7" width="10.6640625" bestFit="1" customWidth="1"/>
    <col min="8" max="8" width="13.1640625" customWidth="1"/>
    <col min="9" max="9" width="12" bestFit="1" customWidth="1"/>
    <col min="10" max="10" width="10.6640625" customWidth="1"/>
    <col min="11" max="11" width="14.5" customWidth="1"/>
    <col min="12" max="12" width="10.83203125" customWidth="1"/>
    <col min="13" max="13" width="13.83203125" customWidth="1"/>
    <col min="14" max="14" width="12" bestFit="1" customWidth="1"/>
    <col min="15" max="15" width="11" customWidth="1"/>
    <col min="16" max="16" width="13.6640625" customWidth="1"/>
  </cols>
  <sheetData>
    <row r="1" spans="1:22" s="305" customFormat="1" x14ac:dyDescent="0.2"/>
    <row r="2" spans="1:22" s="47" customFormat="1" ht="16" thickBot="1" x14ac:dyDescent="0.25"/>
    <row r="3" spans="1:22" s="47" customFormat="1" ht="97" customHeight="1" thickBot="1" x14ac:dyDescent="0.25">
      <c r="C3" s="306"/>
      <c r="D3" s="665" t="s">
        <v>185</v>
      </c>
      <c r="E3" s="666"/>
      <c r="F3" s="666"/>
      <c r="G3" s="666"/>
      <c r="H3" s="667"/>
      <c r="I3" s="667"/>
      <c r="J3" s="667"/>
      <c r="K3" s="668"/>
    </row>
    <row r="4" spans="1:22" s="305" customFormat="1" ht="16" customHeight="1" x14ac:dyDescent="0.2">
      <c r="A4" s="1"/>
    </row>
    <row r="5" spans="1:22" s="305" customFormat="1" ht="21" x14ac:dyDescent="0.25">
      <c r="B5" s="707" t="s">
        <v>169</v>
      </c>
      <c r="C5" s="707"/>
      <c r="D5" s="707"/>
      <c r="E5" s="707"/>
      <c r="F5" s="707"/>
      <c r="G5" s="707"/>
      <c r="H5" s="707"/>
      <c r="I5" s="707"/>
      <c r="J5" s="707"/>
      <c r="K5" s="707"/>
      <c r="L5" s="707"/>
      <c r="M5" s="707"/>
      <c r="N5" s="707"/>
      <c r="O5" s="707"/>
      <c r="P5" s="707"/>
      <c r="R5" s="635"/>
    </row>
    <row r="6" spans="1:22" ht="16" thickBot="1" x14ac:dyDescent="0.25">
      <c r="A6" s="1"/>
    </row>
    <row r="7" spans="1:22" ht="28.5" customHeight="1" thickBot="1" x14ac:dyDescent="0.25">
      <c r="A7" s="1"/>
      <c r="B7" s="6"/>
      <c r="C7" s="40"/>
      <c r="D7" s="40"/>
      <c r="E7" s="708" t="s">
        <v>170</v>
      </c>
      <c r="F7" s="709"/>
      <c r="G7" s="710"/>
      <c r="H7" s="475">
        <v>6</v>
      </c>
      <c r="I7" s="637">
        <f>(O15-H7)/H7</f>
        <v>2.7985594161740157</v>
      </c>
      <c r="J7" s="40"/>
      <c r="K7" s="40"/>
      <c r="L7" s="40"/>
      <c r="M7" s="40"/>
      <c r="N7" s="40"/>
      <c r="O7" s="609"/>
      <c r="P7" s="2"/>
      <c r="Q7" s="1"/>
      <c r="R7" s="634"/>
      <c r="S7" s="1"/>
      <c r="T7" s="1"/>
      <c r="U7" s="1"/>
      <c r="V7" s="1"/>
    </row>
    <row r="8" spans="1:22" ht="15" customHeight="1" thickBot="1" x14ac:dyDescent="0.25">
      <c r="A8" s="1"/>
      <c r="B8" s="6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1"/>
      <c r="P8" s="1"/>
      <c r="Q8" s="1"/>
      <c r="R8" s="1"/>
      <c r="S8" s="1"/>
      <c r="T8" s="1"/>
      <c r="U8" s="1"/>
      <c r="V8" s="1"/>
    </row>
    <row r="9" spans="1:22" ht="15" customHeight="1" thickBot="1" x14ac:dyDescent="0.25">
      <c r="A9" s="1"/>
      <c r="B9" s="6"/>
      <c r="C9" s="100" t="s">
        <v>57</v>
      </c>
      <c r="D9" s="387">
        <f>'Income Statement_P&amp;L'!E3</f>
        <v>2016</v>
      </c>
      <c r="E9" s="366">
        <f>'Income Statement_P&amp;L'!F3</f>
        <v>2017</v>
      </c>
      <c r="F9" s="366">
        <f>'Income Statement_P&amp;L'!G3</f>
        <v>2018</v>
      </c>
      <c r="G9" s="366">
        <f>'Income Statement_P&amp;L'!H3</f>
        <v>2019</v>
      </c>
      <c r="H9" s="366">
        <f>'Income Statement_P&amp;L'!I3</f>
        <v>2020</v>
      </c>
      <c r="I9" s="366">
        <f>'Income Statement_P&amp;L'!J3</f>
        <v>2021</v>
      </c>
      <c r="J9" s="367">
        <f>'Income Statement_P&amp;L'!K3</f>
        <v>2022</v>
      </c>
      <c r="K9" s="356">
        <f t="shared" ref="K9:O9" si="0">J9+1</f>
        <v>2023</v>
      </c>
      <c r="L9" s="354">
        <f t="shared" si="0"/>
        <v>2024</v>
      </c>
      <c r="M9" s="354">
        <f t="shared" si="0"/>
        <v>2025</v>
      </c>
      <c r="N9" s="354">
        <f t="shared" si="0"/>
        <v>2026</v>
      </c>
      <c r="O9" s="357">
        <f t="shared" si="0"/>
        <v>2027</v>
      </c>
      <c r="P9" s="1"/>
      <c r="Q9" s="1"/>
      <c r="R9" s="1"/>
      <c r="S9" s="1"/>
      <c r="T9" s="1"/>
      <c r="U9" s="1"/>
      <c r="V9" s="1"/>
    </row>
    <row r="10" spans="1:22" ht="16" x14ac:dyDescent="0.2">
      <c r="A10" s="1"/>
      <c r="C10" s="376" t="s">
        <v>133</v>
      </c>
      <c r="D10" s="377" t="str">
        <f>IFERROR((Balance!D13-Balance!D6)/' Cash Flow'!D12,"")</f>
        <v/>
      </c>
      <c r="E10" s="135" t="str">
        <f>IFERROR((Balance!E13-Balance!E6)/' Cash Flow'!E12,"")</f>
        <v/>
      </c>
      <c r="F10" s="135" t="str">
        <f>IFERROR((Balance!F13-Balance!F6)/' Cash Flow'!F12,"")</f>
        <v/>
      </c>
      <c r="G10" s="543" t="str">
        <f>IFERROR((Balance!G13-Balance!G6)/' Cash Flow'!G12,"")</f>
        <v/>
      </c>
      <c r="H10" s="543">
        <f>IFERROR((Balance!H13-Balance!H6)/' Cash Flow'!H12,"")</f>
        <v>0</v>
      </c>
      <c r="I10" s="543">
        <f>IFERROR((Balance!I13-Balance!I6)/' Cash Flow'!I12,"")</f>
        <v>0</v>
      </c>
      <c r="J10" s="543">
        <f>IFERROR((Balance!J13-Balance!J6)/' Cash Flow'!J12,"")</f>
        <v>-0.31250000000000006</v>
      </c>
      <c r="K10" s="544">
        <f>IFERROR((Balance!K13-Balance!K6)/' Cash Flow'!K12,"")</f>
        <v>-0.60628329965092764</v>
      </c>
      <c r="L10" s="545">
        <f>IFERROR((Balance!L13-Balance!L6)/' Cash Flow'!L12,"")</f>
        <v>-0.43831153611775187</v>
      </c>
      <c r="M10" s="545">
        <f>IFERROR((Balance!M13-Balance!M6)/' Cash Flow'!M12,"")</f>
        <v>-0.47396013795265723</v>
      </c>
      <c r="N10" s="545">
        <f>IFERROR((Balance!N13-Balance!N6)/' Cash Flow'!N12,"")</f>
        <v>-0.51053631952598133</v>
      </c>
      <c r="O10" s="545">
        <f>IFERROR((Balance!O13-Balance!O6)/' Cash Flow'!O12,"")</f>
        <v>-0.54871175060713828</v>
      </c>
      <c r="P10" s="39"/>
      <c r="Q10" s="39"/>
      <c r="R10" s="5"/>
      <c r="S10" s="1"/>
      <c r="T10" s="1"/>
      <c r="U10" s="1"/>
      <c r="V10" s="1"/>
    </row>
    <row r="11" spans="1:22" s="272" customFormat="1" ht="17" thickBot="1" x14ac:dyDescent="0.25">
      <c r="A11" s="1"/>
      <c r="C11" s="376" t="s">
        <v>162</v>
      </c>
      <c r="D11" s="378"/>
      <c r="E11" s="379"/>
      <c r="F11" s="379"/>
      <c r="G11" s="546" t="str">
        <f>IFERROR((Balance!G13-Balance!G6)/'Income Statement_P&amp;L'!H7,"")</f>
        <v/>
      </c>
      <c r="H11" s="546">
        <f>IFERROR((Balance!H13-Balance!H6)/'Income Statement_P&amp;L'!I7,"")</f>
        <v>0</v>
      </c>
      <c r="I11" s="546">
        <f>IFERROR((Balance!I13-Balance!I6)/'Income Statement_P&amp;L'!J7,"")</f>
        <v>0</v>
      </c>
      <c r="J11" s="546">
        <f>IFERROR((Balance!J13-Balance!J6)/'Income Statement_P&amp;L'!K7,"")</f>
        <v>-0.1492537313432836</v>
      </c>
      <c r="K11" s="547">
        <f>IFERROR((Balance!K13-Balance!K6)/'Income Statement_P&amp;L'!L7,"")</f>
        <v>-0.28205128205128205</v>
      </c>
      <c r="L11" s="548">
        <f>IFERROR((Balance!L13-Balance!L6)/'Income Statement_P&amp;L'!M7,"")</f>
        <v>-0.24423403421705631</v>
      </c>
      <c r="M11" s="548">
        <f>IFERROR((Balance!M13-Balance!M6)/'Income Statement_P&amp;L'!N7,"")</f>
        <v>-0.26616670593783037</v>
      </c>
      <c r="N11" s="548">
        <f>IFERROR((Balance!N13-Balance!N6)/'Income Statement_P&amp;L'!O7,"")</f>
        <v>-0.29006897247921715</v>
      </c>
      <c r="O11" s="548">
        <f>IFERROR((Balance!O13-Balance!O6)/'Income Statement_P&amp;L'!P7,"")</f>
        <v>-0.3161177071290116</v>
      </c>
      <c r="P11" s="39"/>
      <c r="Q11" s="39"/>
      <c r="R11" s="5"/>
      <c r="S11" s="1"/>
      <c r="T11" s="1"/>
      <c r="U11" s="1"/>
      <c r="V11" s="1"/>
    </row>
    <row r="12" spans="1:22" ht="18" thickBot="1" x14ac:dyDescent="0.25">
      <c r="A12" s="1"/>
      <c r="C12" s="232"/>
      <c r="D12" s="408" t="s">
        <v>14</v>
      </c>
      <c r="E12" s="409" t="s">
        <v>15</v>
      </c>
      <c r="F12" s="57"/>
      <c r="G12" s="57"/>
      <c r="H12" s="57"/>
      <c r="I12" s="57"/>
      <c r="J12" s="57"/>
      <c r="K12" s="606"/>
      <c r="L12" s="607"/>
      <c r="M12" s="607"/>
      <c r="N12" s="607"/>
      <c r="O12" s="608"/>
      <c r="P12" s="714" t="s">
        <v>17</v>
      </c>
      <c r="Q12" s="715"/>
      <c r="R12" s="425">
        <v>20</v>
      </c>
      <c r="S12" s="1"/>
      <c r="T12" s="1"/>
      <c r="U12" s="1"/>
      <c r="V12" s="1"/>
    </row>
    <row r="13" spans="1:22" ht="17" thickBot="1" x14ac:dyDescent="0.25">
      <c r="A13" s="1"/>
      <c r="C13" s="233" t="s">
        <v>7</v>
      </c>
      <c r="D13" s="410">
        <f>IFERROR((M13/$H$7)^(1/3)-1,"")</f>
        <v>0.38012222505232018</v>
      </c>
      <c r="E13" s="411">
        <f>IFERROR((O13/$H$7)^(1/5)-1,"")</f>
        <v>0.29460833297909317</v>
      </c>
      <c r="F13" s="57"/>
      <c r="G13" s="102" t="s">
        <v>3</v>
      </c>
      <c r="H13" s="102"/>
      <c r="I13" s="102"/>
      <c r="J13" s="480">
        <f>IFERROR(IF(--(Balance!J13-Balance!J6)&lt;0,('Income Statement_P&amp;L'!K21*$R$12-(Balance!J13-Balance!J6)),IF(--(Balance!J13-Balance!J6)&gt;0,'Income Statement_P&amp;L'!K21*$R$12))/'Income Statement_P&amp;L'!K26,"")</f>
        <v>2.85</v>
      </c>
      <c r="K13" s="620">
        <f>IFERROR(IF(--(Balance!K13-Balance!K6)&lt;0,('Income Statement_P&amp;L'!L21*$R$12-(Balance!K13-Balance!K6)),IF(--(Balance!K13-Balance!K6)&gt;0,'Income Statement_P&amp;L'!L21*$R$12))/'Income Statement_P&amp;L'!L26,"")</f>
        <v>6.8080000000000016</v>
      </c>
      <c r="L13" s="621">
        <f>IFERROR(IF(--(Balance!L13-Balance!L6)&lt;0,('Income Statement_P&amp;L'!M21*$R$12-(Balance!L13-Balance!L6)),IF(--(Balance!L13-Balance!L6)&gt;0,'Income Statement_P&amp;L'!M21*$R$12))/'Income Statement_P&amp;L'!M26,"")</f>
        <v>13.100673992673993</v>
      </c>
      <c r="M13" s="621">
        <f>IFERROR(IF(--(Balance!M13-Balance!M6)&lt;0,('Income Statement_P&amp;L'!N21*$R$12-(Balance!M13-Balance!M6)),IF(--(Balance!M13-Balance!M6)&gt;0,'Income Statement_P&amp;L'!N21*$R$12))/'Income Statement_P&amp;L'!N26,"")</f>
        <v>15.772622148108304</v>
      </c>
      <c r="N13" s="621">
        <f>IFERROR(IF(--(Balance!N13-Balance!N6)&lt;0,('Income Statement_P&amp;L'!O21*$R$12-(Balance!N13-Balance!N6)),IF(--(Balance!N13-Balance!N6)&gt;0,'Income Statement_P&amp;L'!O21*$R$12))/'Income Statement_P&amp;L'!O26,"")</f>
        <v>18.124954363087223</v>
      </c>
      <c r="O13" s="664">
        <f>IFERROR(IF(--(Balance!O13-Balance!O6)&lt;0,('Income Statement_P&amp;L'!P21*$R$12-(Balance!O13-Balance!O6)),IF(--(Balance!O13-Balance!O6)&gt;0,'Income Statement_P&amp;L'!P21*$R$12))/'Income Statement_P&amp;L'!P26,"")</f>
        <v>21.819421951589547</v>
      </c>
      <c r="P13" s="714" t="s">
        <v>153</v>
      </c>
      <c r="Q13" s="715"/>
      <c r="R13" s="425">
        <v>20</v>
      </c>
      <c r="S13" s="1"/>
      <c r="T13" s="1"/>
      <c r="U13" s="1"/>
      <c r="V13" s="1"/>
    </row>
    <row r="14" spans="1:22" ht="17" thickBot="1" x14ac:dyDescent="0.25">
      <c r="A14" s="1"/>
      <c r="C14" s="233" t="s">
        <v>8</v>
      </c>
      <c r="D14" s="410">
        <f>IFERROR((M14/$H$7)^(1/3)-1,"")</f>
        <v>0.37151296599077477</v>
      </c>
      <c r="E14" s="411">
        <f>IFERROR((O14/$H$7)^(1/5)-1,"")</f>
        <v>0.29564746942412223</v>
      </c>
      <c r="F14" s="57"/>
      <c r="G14" s="103" t="s">
        <v>4</v>
      </c>
      <c r="H14" s="57"/>
      <c r="I14" s="57"/>
      <c r="J14" s="480">
        <f>IFERROR(IF(--(Balance!J13-Balance!J6)&lt;0,(' Cash Flow'!J12*$R$13-(Balance!J13-Balance!J6)),IF(--(Balance!J13-Balance!J6)&gt;0,' Cash Flow'!J12*$R$13))/'Income Statement_P&amp;L'!K26,"")</f>
        <v>3.2499999999999991</v>
      </c>
      <c r="K14" s="620">
        <f>IFERROR(IF(--(Balance!K13-Balance!K6)&lt;0,(' Cash Flow'!K12*$R$13-(Balance!K13-Balance!K6)),IF(--(Balance!K13-Balance!K6)&gt;0,' Cash Flow'!K12*$R$13))/'Income Statement_P&amp;L'!L26,"")</f>
        <v>5.6080000000000014</v>
      </c>
      <c r="L14" s="621">
        <f>IFERROR(IF(--(Balance!L13-Balance!L6)&lt;0,(' Cash Flow'!L12*$R$13-(Balance!L13-Balance!L6)),IF(--(Balance!L13-Balance!L6)&gt;0,' Cash Flow'!L12*$R$13))/'Income Statement_P&amp;L'!M26,"")</f>
        <v>12.776864468864469</v>
      </c>
      <c r="M14" s="621">
        <f>IFERROR(IF(--(Balance!M13-Balance!M6)&lt;0,(' Cash Flow'!M12*$R$13-(Balance!M13-Balance!M6)),IF(--(Balance!M13-Balance!M6)&gt;0,' Cash Flow'!M12*$R$13))/'Income Statement_P&amp;L'!N26,"")</f>
        <v>15.479288814774971</v>
      </c>
      <c r="N14" s="621">
        <f>IFERROR(IF(--(Balance!N13-Balance!N6)&lt;0,(' Cash Flow'!N12*$R$13-(Balance!N13-Balance!N6)),IF(--(Balance!N13-Balance!N6)&gt;0,' Cash Flow'!N12*$R$13))/'Income Statement_P&amp;L'!O26,"")</f>
        <v>17.970772544905408</v>
      </c>
      <c r="O14" s="664">
        <f>IFERROR(IF(--(Balance!O13-Balance!O6)&lt;0,(' Cash Flow'!O12*$R$13-(Balance!O13-Balance!O6)),IF(--(Balance!O13-Balance!O6)&gt;0,' Cash Flow'!O12*$R$13))/'Income Statement_P&amp;L'!P26,"")</f>
        <v>21.907131042498641</v>
      </c>
      <c r="P14" s="714" t="s">
        <v>154</v>
      </c>
      <c r="Q14" s="715"/>
      <c r="R14" s="425">
        <v>12</v>
      </c>
      <c r="S14" s="1"/>
      <c r="T14" s="1"/>
      <c r="U14" s="1"/>
      <c r="V14" s="1"/>
    </row>
    <row r="15" spans="1:22" ht="17" thickBot="1" x14ac:dyDescent="0.25">
      <c r="A15" s="1"/>
      <c r="C15" s="233" t="s">
        <v>9</v>
      </c>
      <c r="D15" s="410">
        <f>IFERROR((M15/$H$7)^(1/3)-1,"")</f>
        <v>0.40140915386773224</v>
      </c>
      <c r="E15" s="411">
        <f>IFERROR((O15/$H$7)^(1/5)-1,"")</f>
        <v>0.30594168567954205</v>
      </c>
      <c r="F15" s="57"/>
      <c r="G15" s="103" t="s">
        <v>5</v>
      </c>
      <c r="H15" s="57"/>
      <c r="I15" s="57"/>
      <c r="J15" s="480">
        <f>IFERROR((('Income Statement_P&amp;L'!K7*$R$14)-(Balance!J13-Balance!J6))/'Income Statement_P&amp;L'!K26,"")</f>
        <v>4.0699999999999994</v>
      </c>
      <c r="K15" s="620">
        <f>IFERROR((('Income Statement_P&amp;L'!L7*$R$14)-(Balance!K13-Balance!K6))/'Income Statement_P&amp;L'!L26,"")</f>
        <v>7.1850000000000005</v>
      </c>
      <c r="L15" s="621">
        <f>IFERROR((('Income Statement_P&amp;L'!M7*$R$14)-(Balance!L13-Balance!L6))/'Income Statement_P&amp;L'!M26,"")</f>
        <v>13.736864468864466</v>
      </c>
      <c r="M15" s="621">
        <f>IFERROR((('Income Statement_P&amp;L'!N7*$R$14)-(Balance!M13-Balance!M6))/'Income Statement_P&amp;L'!N26,"")</f>
        <v>16.513765005251159</v>
      </c>
      <c r="N15" s="621">
        <f>IFERROR((('Income Statement_P&amp;L'!O7*$R$14)-(Balance!N13-Balance!N6))/'Income Statement_P&amp;L'!O26,"")</f>
        <v>18.95262709035995</v>
      </c>
      <c r="O15" s="664">
        <f>IFERROR((('Income Statement_P&amp;L'!P7*$R$14)-(Balance!O13-Balance!O6))/'Income Statement_P&amp;L'!P26,"")</f>
        <v>22.791356497044095</v>
      </c>
      <c r="P15" s="714" t="s">
        <v>155</v>
      </c>
      <c r="Q15" s="715"/>
      <c r="R15" s="425">
        <v>12</v>
      </c>
      <c r="S15" s="1"/>
      <c r="T15" s="1"/>
      <c r="U15" s="1"/>
      <c r="V15" s="1"/>
    </row>
    <row r="16" spans="1:22" ht="17" thickBot="1" x14ac:dyDescent="0.25">
      <c r="A16" s="1"/>
      <c r="C16" s="234" t="s">
        <v>10</v>
      </c>
      <c r="D16" s="412">
        <f>IFERROR((M16/$H$7)^(1/3)-1,"")</f>
        <v>0.34778680210162771</v>
      </c>
      <c r="E16" s="413">
        <f>IFERROR((O16/$H$7)^(1/5)-1,"")</f>
        <v>0.2758548386371853</v>
      </c>
      <c r="F16" s="104"/>
      <c r="G16" s="105" t="s">
        <v>6</v>
      </c>
      <c r="H16" s="104"/>
      <c r="I16" s="104"/>
      <c r="J16" s="481">
        <f>IFERROR((('Income Statement_P&amp;L'!K11*$R$15)-(Balance!J13-Balance!J6))/'Income Statement_P&amp;L'!K26,"")</f>
        <v>2.63</v>
      </c>
      <c r="K16" s="622">
        <f>IFERROR((('Income Statement_P&amp;L'!L11*$R$15)-(Balance!K13-Balance!K6))/'Income Statement_P&amp;L'!L26,"")</f>
        <v>6.4050000000000011</v>
      </c>
      <c r="L16" s="623">
        <f>IFERROR((('Income Statement_P&amp;L'!M11*$R$15)-(Balance!L13-Balance!L6))/'Income Statement_P&amp;L'!M26,"")</f>
        <v>12.216864468864468</v>
      </c>
      <c r="M16" s="623">
        <f>IFERROR((('Income Statement_P&amp;L'!N11*$R$15)-(Balance!M13-Balance!M6))/'Income Statement_P&amp;L'!N26,"")</f>
        <v>14.689765005251161</v>
      </c>
      <c r="N16" s="623">
        <f>IFERROR((('Income Statement_P&amp;L'!O11*$R$15)-(Balance!N13-Balance!N6))/'Income Statement_P&amp;L'!O26,"")</f>
        <v>16.86331799945086</v>
      </c>
      <c r="O16" s="624">
        <f>IFERROR((('Income Statement_P&amp;L'!P11*$R$15)-(Balance!O13-Balance!O6))/'Income Statement_P&amp;L'!P26,"")</f>
        <v>20.284185587953186</v>
      </c>
      <c r="S16" s="1"/>
      <c r="T16" s="1"/>
      <c r="U16" s="1"/>
      <c r="V16" s="1"/>
    </row>
    <row r="17" spans="1:22" ht="17" thickBot="1" x14ac:dyDescent="0.25">
      <c r="A17" s="1"/>
      <c r="L17" s="101"/>
      <c r="M17" s="101"/>
      <c r="N17" s="101"/>
      <c r="O17" s="101"/>
      <c r="P17" s="717" t="s">
        <v>72</v>
      </c>
      <c r="Q17" s="718"/>
      <c r="R17" s="60">
        <v>3</v>
      </c>
      <c r="S17" s="1"/>
      <c r="T17" s="1"/>
      <c r="U17" s="1"/>
      <c r="V17" s="1"/>
    </row>
    <row r="18" spans="1:22" ht="17" thickBot="1" x14ac:dyDescent="0.25">
      <c r="A18" s="1"/>
      <c r="E18" s="97" t="s">
        <v>74</v>
      </c>
      <c r="F18" s="108" t="str">
        <f>IFERROR(#REF!/'Income Statement_P&amp;L'!K5,"")</f>
        <v/>
      </c>
      <c r="G18" s="97" t="s">
        <v>73</v>
      </c>
      <c r="H18" s="98"/>
      <c r="I18" s="98"/>
      <c r="J18" s="99"/>
      <c r="K18" s="107">
        <f>IFERROR('Income Statement_P&amp;L'!K5*$R$17/'Income Statement_P&amp;L'!K26,"")</f>
        <v>2.64</v>
      </c>
      <c r="L18" s="47"/>
      <c r="M18" s="70" t="s">
        <v>63</v>
      </c>
      <c r="N18" s="47"/>
      <c r="O18" s="47"/>
      <c r="S18" s="1"/>
      <c r="T18" s="1"/>
      <c r="U18" s="1"/>
      <c r="V18" s="1"/>
    </row>
    <row r="19" spans="1:22" ht="16" x14ac:dyDescent="0.2">
      <c r="A19" s="1"/>
      <c r="I19" s="47"/>
      <c r="J19" s="47"/>
      <c r="K19" s="47"/>
      <c r="L19" s="47"/>
      <c r="M19" s="70" t="s">
        <v>71</v>
      </c>
      <c r="N19" s="47"/>
      <c r="O19" s="47"/>
      <c r="P19" s="47"/>
      <c r="R19" s="1"/>
      <c r="S19" s="1"/>
      <c r="T19" s="1"/>
      <c r="U19" s="1"/>
      <c r="V19" s="1"/>
    </row>
    <row r="20" spans="1:22" ht="16" x14ac:dyDescent="0.2">
      <c r="A20" s="1"/>
      <c r="B20" s="4"/>
      <c r="C20" s="3"/>
      <c r="D20" s="3"/>
      <c r="E20" s="3"/>
      <c r="F20" s="3"/>
      <c r="G20" s="3"/>
      <c r="H20" s="43"/>
      <c r="I20" s="56"/>
      <c r="J20" s="56"/>
      <c r="K20" s="56"/>
      <c r="L20" s="56"/>
      <c r="M20" s="59" t="b">
        <v>1</v>
      </c>
      <c r="N20" s="56"/>
      <c r="O20" s="58"/>
      <c r="P20" s="58"/>
      <c r="Q20" s="1"/>
      <c r="R20" s="1"/>
      <c r="S20" s="1"/>
      <c r="T20" s="1"/>
      <c r="U20" s="1"/>
      <c r="V20" s="1"/>
    </row>
    <row r="21" spans="1:22" ht="17" thickBot="1" x14ac:dyDescent="0.25">
      <c r="A21" s="1"/>
      <c r="B21" s="2"/>
      <c r="C21" s="3"/>
      <c r="D21" s="3"/>
      <c r="E21" s="3"/>
      <c r="F21" s="3"/>
      <c r="G21" s="3"/>
      <c r="H21" s="43"/>
      <c r="I21" s="56"/>
      <c r="J21" s="56"/>
      <c r="K21" s="56"/>
      <c r="L21" s="56"/>
      <c r="M21" s="56"/>
      <c r="N21" s="56"/>
      <c r="O21" s="58"/>
      <c r="P21" s="58"/>
      <c r="Q21" s="1"/>
      <c r="R21" s="1"/>
      <c r="S21" s="1"/>
      <c r="T21" s="1"/>
      <c r="U21" s="1"/>
      <c r="V21" s="1"/>
    </row>
    <row r="22" spans="1:22" ht="17" thickBot="1" x14ac:dyDescent="0.25">
      <c r="A22" s="1"/>
      <c r="B22" s="2"/>
      <c r="C22" s="2"/>
      <c r="D22" s="2"/>
      <c r="E22" s="2"/>
      <c r="F22" s="2"/>
      <c r="G22" s="2"/>
      <c r="H22" s="8"/>
      <c r="I22" s="416"/>
      <c r="J22" s="417">
        <f>J9</f>
        <v>2022</v>
      </c>
      <c r="K22" s="466">
        <f>K9</f>
        <v>2023</v>
      </c>
      <c r="L22" s="418">
        <f t="shared" ref="L22:O22" si="1">L9</f>
        <v>2024</v>
      </c>
      <c r="M22" s="418">
        <f t="shared" si="1"/>
        <v>2025</v>
      </c>
      <c r="N22" s="418">
        <f t="shared" si="1"/>
        <v>2026</v>
      </c>
      <c r="O22" s="419">
        <f t="shared" si="1"/>
        <v>2027</v>
      </c>
      <c r="P22" s="7"/>
      <c r="Q22" s="106" t="b">
        <v>0</v>
      </c>
      <c r="R22" s="638"/>
      <c r="S22" s="1"/>
      <c r="T22" s="1"/>
      <c r="U22" s="1"/>
      <c r="V22" s="1"/>
    </row>
    <row r="23" spans="1:22" ht="16" x14ac:dyDescent="0.2">
      <c r="A23" s="1"/>
      <c r="B23" s="2"/>
      <c r="C23" s="2"/>
      <c r="D23" s="2"/>
      <c r="E23" s="2"/>
      <c r="F23" s="2"/>
      <c r="G23" s="2"/>
      <c r="H23" s="8"/>
      <c r="I23" s="420" t="s">
        <v>17</v>
      </c>
      <c r="J23" s="414">
        <f>IFERROR(IF((Balance!J13-Balance!J6)&gt;0,($H$7*'Income Statement_P&amp;L'!K26)/'Income Statement_P&amp;L'!K21,(($H$7*'Income Statement_P&amp;L'!K26)+(Balance!J13-Balance!J6))/'Income Statement_P&amp;L'!K21),"")</f>
        <v>42.5</v>
      </c>
      <c r="K23" s="261">
        <f>IFERROR(IF((Balance!K13-Balance!K6)&gt;0,($H$7*'Income Statement_P&amp;L'!L26)/'Income Statement_P&amp;L'!L21,(($H$7*'Income Statement_P&amp;L'!L26)+(Balance!K13-Balance!K6))/'Income Statement_P&amp;L'!L21),"")</f>
        <v>17.567364142706609</v>
      </c>
      <c r="L23" s="262">
        <f>IFERROR(IF((Balance!L13-Balance!L6)&gt;0,($H$7*'Income Statement_P&amp;L'!M26)/'Income Statement_P&amp;L'!M21,(($H$7*'Income Statement_P&amp;L'!M26)+(Balance!L13-Balance!L6))/'Income Statement_P&amp;L'!M21),"")</f>
        <v>8.9282630051860821</v>
      </c>
      <c r="M23" s="262">
        <f>IFERROR(IF((Balance!M13-Balance!M6)&gt;0,($H$7*'Income Statement_P&amp;L'!N26)/'Income Statement_P&amp;L'!N21,(($H$7*'Income Statement_P&amp;L'!N26)+(Balance!M13-Balance!M6))/'Income Statement_P&amp;L'!N21),"")</f>
        <v>7.3200454056055388</v>
      </c>
      <c r="N23" s="262">
        <f>IFERROR(IF((Balance!N13-Balance!N6)&gt;0,($H$7*'Income Statement_P&amp;L'!O26)/'Income Statement_P&amp;L'!O21,(($H$7*'Income Statement_P&amp;L'!O26)+(Balance!N13-Balance!N6))/'Income Statement_P&amp;L'!O21),"")</f>
        <v>6.2821543404651532</v>
      </c>
      <c r="O23" s="263">
        <f>IFERROR(IF((Balance!O13-Balance!O6)&gt;0,($H$7*'Income Statement_P&amp;L'!P26)/'Income Statement_P&amp;L'!P21,(($H$7*'Income Statement_P&amp;L'!P26)+(Balance!O13-Balance!O6))/'Income Statement_P&amp;L'!P21),"")</f>
        <v>5.1002195860681683</v>
      </c>
      <c r="P23" s="7"/>
      <c r="Q23" s="1"/>
      <c r="R23" s="1"/>
      <c r="S23" s="1"/>
      <c r="T23" s="1"/>
      <c r="U23" s="1"/>
      <c r="V23" s="1"/>
    </row>
    <row r="24" spans="1:22" ht="16" x14ac:dyDescent="0.2">
      <c r="A24" s="1"/>
      <c r="B24" s="1"/>
      <c r="C24" s="1"/>
      <c r="D24" s="1"/>
      <c r="E24" s="1"/>
      <c r="F24" s="1"/>
      <c r="G24" s="1"/>
      <c r="H24" s="7"/>
      <c r="I24" s="421" t="s">
        <v>20</v>
      </c>
      <c r="J24" s="415">
        <f>IFERROR(IF((Balance!J13-Balance!J6)&gt;0,($H$7*'Income Statement_P&amp;L'!K26)/' Cash Flow'!J12,(($H$7*'Income Statement_P&amp;L'!K26)+(Balance!J13-Balance!J6))/' Cash Flow'!J12),"")</f>
        <v>37.187500000000007</v>
      </c>
      <c r="K24" s="264">
        <f>IFERROR(IF((Balance!K13-Balance!K6)&gt;0,($H$7*'Income Statement_P&amp;L'!L26)/' Cash Flow'!K12,(($H$7*'Income Statement_P&amp;L'!L26)+(Balance!K13-Balance!K6))/' Cash Flow'!K12),"")</f>
        <v>21.440382142200988</v>
      </c>
      <c r="L24" s="44">
        <f>IFERROR(IF((Balance!L13-Balance!L6)&gt;0,($H$7*'Income Statement_P&amp;L'!M26)/' Cash Flow'!L12,(($H$7*'Income Statement_P&amp;L'!M26)+(Balance!L13-Balance!L6))/' Cash Flow'!L12),"")</f>
        <v>9.1594946796043697</v>
      </c>
      <c r="M24" s="44">
        <f>IFERROR(IF((Balance!M13-Balance!M6)&gt;0,($H$7*'Income Statement_P&amp;L'!N26)/' Cash Flow'!M12,(($H$7*'Income Statement_P&amp;L'!N26)+(Balance!M13-Balance!M6))/' Cash Flow'!M12),"")</f>
        <v>7.4620479240237856</v>
      </c>
      <c r="N24" s="44">
        <f>IFERROR(IF((Balance!N13-Balance!N6)&gt;0,($H$7*'Income Statement_P&amp;L'!O26)/' Cash Flow'!N12,(($H$7*'Income Statement_P&amp;L'!O26)+(Balance!N13-Balance!N6))/' Cash Flow'!N12),"")</f>
        <v>6.3374284860851979</v>
      </c>
      <c r="O24" s="265">
        <f>IFERROR(IF((Balance!O13-Balance!O6)&gt;0,($H$7*'Income Statement_P&amp;L'!P26)/' Cash Flow'!O12,(($H$7*'Income Statement_P&amp;L'!P26)+(Balance!O13-Balance!O6))/' Cash Flow'!O12),"")</f>
        <v>5.0792397262184918</v>
      </c>
      <c r="P24" s="7"/>
      <c r="Q24" s="1"/>
      <c r="R24" s="1"/>
      <c r="S24" s="1"/>
      <c r="T24" s="1"/>
      <c r="U24" s="1"/>
      <c r="V24" s="1"/>
    </row>
    <row r="25" spans="1:22" ht="16" x14ac:dyDescent="0.2">
      <c r="A25" s="1"/>
      <c r="B25" s="1"/>
      <c r="C25" s="1"/>
      <c r="D25" s="1"/>
      <c r="E25" s="1"/>
      <c r="F25" s="1"/>
      <c r="G25" s="1"/>
      <c r="H25" s="7"/>
      <c r="I25" s="421" t="s">
        <v>19</v>
      </c>
      <c r="J25" s="415">
        <f>IFERROR(($H$7*'Income Statement_P&amp;L'!K26+(Balance!J13-Balance!J6))/'Income Statement_P&amp;L'!K11,"")</f>
        <v>27.674418604651162</v>
      </c>
      <c r="K25" s="264">
        <f>IFERROR(($H$7*'Income Statement_P&amp;L'!L26+(Balance!K13-Balance!K6))/'Income Statement_P&amp;L'!L11,"")</f>
        <v>11.221153846153847</v>
      </c>
      <c r="L25" s="44">
        <f>IFERROR(($H$7*'Income Statement_P&amp;L'!M26+(Balance!L13-Balance!L6))/'Income Statement_P&amp;L'!M11,"")</f>
        <v>5.7533897681266097</v>
      </c>
      <c r="M25" s="44">
        <f>IFERROR(($H$7*'Income Statement_P&amp;L'!N26+(Balance!M13-Balance!M6))/'Income Statement_P&amp;L'!N11,"")</f>
        <v>4.7238809764643399</v>
      </c>
      <c r="N25" s="44">
        <f>IFERROR(($H$7*'Income Statement_P&amp;L'!O26+(Balance!N13-Balance!N6))/'Income Statement_P&amp;L'!O11,"")</f>
        <v>4.058978070576857</v>
      </c>
      <c r="O25" s="265">
        <f>IFERROR(($H$7*'Income Statement_P&amp;L'!P26+(Balance!O13-Balance!O6))/'Income Statement_P&amp;L'!P11,"")</f>
        <v>3.2986198903793955</v>
      </c>
      <c r="P25" s="7"/>
      <c r="Q25" s="1"/>
      <c r="R25" s="1"/>
      <c r="S25" s="1"/>
      <c r="T25" s="1"/>
      <c r="U25" s="1"/>
      <c r="V25" s="1"/>
    </row>
    <row r="26" spans="1:22" ht="16" x14ac:dyDescent="0.2">
      <c r="A26" s="1"/>
      <c r="B26" s="1"/>
      <c r="C26" s="1"/>
      <c r="D26" s="1"/>
      <c r="E26" s="1"/>
      <c r="F26" s="1"/>
      <c r="G26" s="1"/>
      <c r="H26" s="7"/>
      <c r="I26" s="421" t="s">
        <v>18</v>
      </c>
      <c r="J26" s="415">
        <f>IFERROR(($H$7*'Income Statement_P&amp;L'!K26+(Balance!J13-Balance!J6))/'Income Statement_P&amp;L'!K7,"")</f>
        <v>17.761194029850749</v>
      </c>
      <c r="K26" s="264">
        <f>IFERROR(($H$7*'Income Statement_P&amp;L'!L26+(Balance!K13-Balance!K6))/'Income Statement_P&amp;L'!L7,"")</f>
        <v>9.9743589743589745</v>
      </c>
      <c r="L26" s="44">
        <f>IFERROR(($H$7*'Income Statement_P&amp;L'!M26+(Balance!L13-Balance!L6))/'Income Statement_P&amp;L'!M7,"")</f>
        <v>5.1038135039832841</v>
      </c>
      <c r="M26" s="44">
        <f>IFERROR(($H$7*'Income Statement_P&amp;L'!N26+(Balance!M13-Balance!M6))/'Income Statement_P&amp;L'!N7,"")</f>
        <v>4.1905395758957855</v>
      </c>
      <c r="N26" s="44">
        <f>IFERROR(($H$7*'Income Statement_P&amp;L'!O26+(Balance!N13-Balance!N6))/'Income Statement_P&amp;L'!O7,"")</f>
        <v>3.6007063529310828</v>
      </c>
      <c r="O26" s="265">
        <f>IFERROR(($H$7*'Income Statement_P&amp;L'!P26+(Balance!O13-Balance!O6))/'Income Statement_P&amp;L'!P7,"")</f>
        <v>2.926195064046238</v>
      </c>
      <c r="P26" s="7"/>
      <c r="Q26" s="1"/>
      <c r="R26" s="1"/>
      <c r="S26" s="1"/>
      <c r="T26" s="1"/>
      <c r="U26" s="1"/>
      <c r="V26" s="1"/>
    </row>
    <row r="27" spans="1:22" ht="17" thickBot="1" x14ac:dyDescent="0.25">
      <c r="A27" s="1"/>
      <c r="B27" s="1"/>
      <c r="C27" s="1"/>
      <c r="D27" s="1"/>
      <c r="E27" s="1"/>
      <c r="F27" s="1"/>
      <c r="G27" s="1"/>
      <c r="H27" s="7"/>
      <c r="I27" s="422" t="s">
        <v>136</v>
      </c>
      <c r="J27" s="423">
        <f>IFERROR(' Cash Flow'!J12/($H$7*'Income Statement_P&amp;L'!K26),"")</f>
        <v>2.6666666666666661E-2</v>
      </c>
      <c r="K27" s="266">
        <f>IFERROR(' Cash Flow'!K12/($H$7*'Income Statement_P&amp;L'!L26),"")</f>
        <v>4.5358333333333348E-2</v>
      </c>
      <c r="L27" s="267">
        <f>IFERROR(' Cash Flow'!L12/($H$7*'Income Statement_P&amp;L'!M26),"")</f>
        <v>0.10419047619047619</v>
      </c>
      <c r="M27" s="267">
        <f>IFERROR(' Cash Flow'!M12/($H$7*'Income Statement_P&amp;L'!N26),"")</f>
        <v>0.12600793650793654</v>
      </c>
      <c r="N27" s="267">
        <f>IFERROR(' Cash Flow'!N12/($H$7*'Income Statement_P&amp;L'!O26),"")</f>
        <v>0.1460287878787879</v>
      </c>
      <c r="O27" s="268">
        <f>IFERROR(' Cash Flow'!O12/($H$7*'Income Statement_P&amp;L'!P26),"")</f>
        <v>0.17768454545454546</v>
      </c>
      <c r="P27" s="7"/>
      <c r="Q27" s="1"/>
      <c r="R27" s="1"/>
      <c r="S27" s="1"/>
      <c r="T27" s="1"/>
      <c r="U27" s="1"/>
      <c r="V27" s="1"/>
    </row>
    <row r="28" spans="1:22" ht="16" x14ac:dyDescent="0.2">
      <c r="A28" s="1"/>
      <c r="B28" s="1"/>
      <c r="C28" s="1"/>
      <c r="D28" s="1"/>
      <c r="E28" s="1"/>
      <c r="F28" s="1"/>
      <c r="G28" s="1"/>
      <c r="H28" s="9"/>
      <c r="I28" s="9"/>
      <c r="J28" s="9"/>
      <c r="K28" s="9"/>
      <c r="L28" s="9"/>
      <c r="M28" s="9"/>
      <c r="N28" s="9"/>
      <c r="O28" s="9"/>
      <c r="P28" s="9"/>
      <c r="Q28" s="1"/>
      <c r="R28" s="1"/>
      <c r="S28" s="1"/>
      <c r="T28" s="1"/>
      <c r="U28" s="1"/>
      <c r="V28" s="1"/>
    </row>
    <row r="29" spans="1:22" ht="16" thickBot="1" x14ac:dyDescent="0.25">
      <c r="A29" s="1"/>
      <c r="F29" s="1"/>
      <c r="G29" s="1"/>
      <c r="I29" s="716"/>
      <c r="J29" s="716"/>
      <c r="K29" s="716"/>
      <c r="L29" s="716"/>
      <c r="M29" s="716"/>
      <c r="N29" s="716"/>
      <c r="O29" s="716"/>
      <c r="Q29" s="1"/>
      <c r="R29" s="1"/>
      <c r="S29" s="1"/>
      <c r="T29" s="1"/>
      <c r="U29" s="1"/>
      <c r="V29" s="1"/>
    </row>
    <row r="30" spans="1:22" ht="16" thickBot="1" x14ac:dyDescent="0.25">
      <c r="A30" s="1"/>
      <c r="F30" s="1"/>
      <c r="G30" s="1"/>
      <c r="K30" s="704" t="s">
        <v>176</v>
      </c>
      <c r="L30" s="705"/>
      <c r="M30" s="706"/>
      <c r="R30" s="1"/>
      <c r="S30" s="1"/>
      <c r="T30" s="1"/>
      <c r="U30" s="1"/>
      <c r="V30" s="1"/>
    </row>
    <row r="31" spans="1:22" ht="16" thickBot="1" x14ac:dyDescent="0.25">
      <c r="A31" s="1"/>
      <c r="F31" s="1"/>
      <c r="G31" s="1"/>
      <c r="K31" s="424"/>
      <c r="L31" s="29"/>
      <c r="M31" s="210"/>
      <c r="Q31" s="1"/>
      <c r="R31" s="1"/>
      <c r="S31" s="1"/>
      <c r="T31" s="1"/>
      <c r="U31" s="1"/>
      <c r="V31" s="1"/>
    </row>
    <row r="32" spans="1:22" ht="16" thickBot="1" x14ac:dyDescent="0.25">
      <c r="A32" s="1"/>
      <c r="F32" s="1"/>
      <c r="G32" s="1"/>
      <c r="K32" s="702" t="s">
        <v>117</v>
      </c>
      <c r="L32" s="703"/>
      <c r="M32" s="269">
        <f>IFERROR(M33+(Balance!J13-Balance!J6),"")</f>
        <v>119</v>
      </c>
      <c r="Q32" s="1"/>
      <c r="R32" s="1"/>
      <c r="S32" s="1"/>
      <c r="T32" s="1"/>
      <c r="U32" s="1"/>
      <c r="V32" s="1"/>
    </row>
    <row r="33" spans="1:22" ht="16" thickBot="1" x14ac:dyDescent="0.25">
      <c r="A33" s="1"/>
      <c r="F33" s="1"/>
      <c r="G33" s="1"/>
      <c r="K33" s="702" t="s">
        <v>11</v>
      </c>
      <c r="L33" s="703"/>
      <c r="M33" s="99">
        <f>IFERROR($H$7*'Income Statement_P&amp;L'!K26,"")</f>
        <v>120</v>
      </c>
      <c r="Q33" s="1"/>
      <c r="R33" s="1"/>
      <c r="S33" s="1"/>
      <c r="T33" s="1"/>
      <c r="U33" s="1"/>
      <c r="V33" s="1"/>
    </row>
    <row r="34" spans="1:22" ht="16" thickBot="1" x14ac:dyDescent="0.25">
      <c r="A34" s="1"/>
      <c r="F34" s="1"/>
      <c r="G34" s="1"/>
      <c r="K34" s="702" t="s">
        <v>152</v>
      </c>
      <c r="L34" s="703"/>
      <c r="M34" s="230">
        <f>IFERROR((Balance!J13-Balance!J6)/'Income Statement_P&amp;L'!K7,"")</f>
        <v>-0.1492537313432836</v>
      </c>
      <c r="Q34" s="1"/>
      <c r="R34" s="1"/>
      <c r="S34" s="1"/>
      <c r="T34" s="1"/>
      <c r="U34" s="1"/>
      <c r="V34" s="1"/>
    </row>
    <row r="35" spans="1:22" ht="17" thickBot="1" x14ac:dyDescent="0.25">
      <c r="A35" s="1"/>
      <c r="F35" s="1"/>
      <c r="G35" s="1"/>
      <c r="K35" s="719" t="s">
        <v>131</v>
      </c>
      <c r="L35" s="720"/>
      <c r="M35" s="230">
        <f>IFERROR(($H$7*'Income Statement_P&amp;L'!K26)/Balance!J18,"")</f>
        <v>7.5</v>
      </c>
      <c r="Q35" s="1"/>
      <c r="R35" s="1"/>
      <c r="S35" s="1"/>
      <c r="T35" s="1"/>
      <c r="U35" s="1"/>
      <c r="V35" s="1"/>
    </row>
    <row r="36" spans="1:22" ht="17" thickBot="1" x14ac:dyDescent="0.25">
      <c r="A36" s="1"/>
      <c r="F36" s="1"/>
      <c r="G36" s="1"/>
      <c r="K36" s="719" t="s">
        <v>132</v>
      </c>
      <c r="L36" s="720"/>
      <c r="M36" s="231">
        <f>IFERROR(Balance!J20,"")</f>
        <v>0.26874999999999999</v>
      </c>
      <c r="Q36" s="10"/>
      <c r="R36" s="1"/>
      <c r="S36" s="1"/>
      <c r="T36" s="1"/>
      <c r="U36" s="1"/>
      <c r="V36" s="1"/>
    </row>
    <row r="37" spans="1:22" ht="17" thickBot="1" x14ac:dyDescent="0.25">
      <c r="A37" s="1"/>
      <c r="F37" s="1"/>
      <c r="G37" s="1"/>
      <c r="K37" s="719" t="s">
        <v>139</v>
      </c>
      <c r="L37" s="720"/>
      <c r="M37" s="231">
        <f>IFERROR(M36/M35,"")</f>
        <v>3.5833333333333335E-2</v>
      </c>
      <c r="Q37" s="1"/>
      <c r="R37" s="1"/>
      <c r="S37" s="1"/>
      <c r="T37" s="1"/>
      <c r="U37" s="1"/>
      <c r="V37" s="1"/>
    </row>
    <row r="38" spans="1:22" ht="16" thickBot="1" x14ac:dyDescent="0.25">
      <c r="A38" s="1"/>
      <c r="F38" s="1"/>
      <c r="G38" s="1"/>
      <c r="K38" s="702" t="s">
        <v>140</v>
      </c>
      <c r="L38" s="703"/>
      <c r="M38" s="231">
        <f>IFERROR(('Income Statement_P&amp;L'!K11-'Income Statement_P&amp;L'!E11)/(Balance!J18-Balance!E18),"")</f>
        <v>0.26874999999999999</v>
      </c>
      <c r="Q38" s="1"/>
      <c r="R38" s="1"/>
      <c r="S38" s="1"/>
      <c r="T38" s="1"/>
      <c r="U38" s="1"/>
      <c r="V38" s="1"/>
    </row>
    <row r="39" spans="1:22" x14ac:dyDescent="0.2">
      <c r="A39" s="1"/>
      <c r="F39" s="1"/>
      <c r="G39" s="1"/>
      <c r="Q39" s="1"/>
      <c r="R39" s="1"/>
      <c r="S39" s="1"/>
      <c r="T39" s="1"/>
      <c r="U39" s="1"/>
      <c r="V39" s="1"/>
    </row>
    <row r="40" spans="1:22" x14ac:dyDescent="0.2">
      <c r="A40" s="1"/>
      <c r="F40" s="1"/>
      <c r="G40" s="1"/>
      <c r="Q40" s="1"/>
      <c r="R40" s="1"/>
      <c r="S40" s="1"/>
      <c r="T40" s="1"/>
      <c r="U40" s="1"/>
      <c r="V40" s="1"/>
    </row>
    <row r="41" spans="1:22" x14ac:dyDescent="0.2">
      <c r="A41" s="1"/>
      <c r="F41" s="1"/>
      <c r="G41" s="1"/>
      <c r="Q41" s="1"/>
      <c r="R41" s="1"/>
      <c r="S41" s="1"/>
      <c r="T41" s="1"/>
      <c r="U41" s="1"/>
      <c r="V41" s="1"/>
    </row>
    <row r="42" spans="1:22" x14ac:dyDescent="0.2">
      <c r="A42" s="1"/>
      <c r="F42" s="1"/>
      <c r="G42" s="1"/>
      <c r="Q42" s="1"/>
      <c r="R42" s="1"/>
      <c r="S42" s="1"/>
      <c r="T42" s="1"/>
      <c r="U42" s="1"/>
      <c r="V42" s="1"/>
    </row>
    <row r="43" spans="1:22" x14ac:dyDescent="0.2">
      <c r="A43" s="1"/>
      <c r="F43" s="1"/>
      <c r="G43" s="1"/>
      <c r="Q43" s="1"/>
      <c r="R43" s="1"/>
      <c r="S43" s="1"/>
      <c r="T43" s="1"/>
      <c r="U43" s="1"/>
      <c r="V43" s="1"/>
    </row>
    <row r="44" spans="1:22" x14ac:dyDescent="0.2">
      <c r="A44" s="1"/>
      <c r="F44" s="1"/>
      <c r="G44" s="1"/>
      <c r="Q44" s="1"/>
      <c r="R44" s="1"/>
      <c r="S44" s="1"/>
      <c r="T44" s="1"/>
      <c r="U44" s="1"/>
      <c r="V44" s="1"/>
    </row>
    <row r="45" spans="1:22" x14ac:dyDescent="0.2">
      <c r="A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 x14ac:dyDescent="0.2">
      <c r="A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 x14ac:dyDescent="0.2">
      <c r="A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 x14ac:dyDescent="0.2">
      <c r="A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51" spans="2:16" ht="21" x14ac:dyDescent="0.25">
      <c r="B51" s="707" t="s">
        <v>168</v>
      </c>
      <c r="C51" s="707"/>
      <c r="D51" s="707"/>
      <c r="E51" s="707"/>
      <c r="F51" s="707"/>
      <c r="G51" s="707"/>
      <c r="H51" s="707"/>
      <c r="I51" s="707"/>
      <c r="J51" s="707"/>
      <c r="K51" s="707"/>
      <c r="L51" s="707"/>
      <c r="M51" s="707"/>
      <c r="N51" s="707"/>
      <c r="O51" s="707"/>
      <c r="P51" s="707"/>
    </row>
    <row r="52" spans="2:16" outlineLevel="1" x14ac:dyDescent="0.2">
      <c r="B52" s="29"/>
      <c r="F52" s="11"/>
      <c r="G52" s="11"/>
      <c r="H52" s="11"/>
      <c r="I52" s="11"/>
    </row>
    <row r="53" spans="2:16" ht="16" outlineLevel="1" thickBot="1" x14ac:dyDescent="0.25">
      <c r="B53" s="29"/>
      <c r="F53" s="11"/>
      <c r="G53" s="11"/>
      <c r="H53" s="11"/>
      <c r="I53" s="11"/>
    </row>
    <row r="54" spans="2:16" ht="16" outlineLevel="1" thickBot="1" x14ac:dyDescent="0.25">
      <c r="B54" s="29"/>
      <c r="C54" s="426" t="s">
        <v>29</v>
      </c>
      <c r="D54" s="427"/>
      <c r="E54" s="467">
        <f>' Cash Flow'!J12</f>
        <v>3.1999999999999993</v>
      </c>
      <c r="F54" s="12"/>
      <c r="G54" s="433" t="s">
        <v>26</v>
      </c>
      <c r="H54" s="434" t="s">
        <v>27</v>
      </c>
      <c r="I54" s="435" t="s">
        <v>28</v>
      </c>
    </row>
    <row r="55" spans="2:16" ht="16" outlineLevel="1" thickBot="1" x14ac:dyDescent="0.25">
      <c r="B55" s="29"/>
      <c r="C55" s="428" t="s">
        <v>21</v>
      </c>
      <c r="D55" s="429"/>
      <c r="E55" s="71">
        <f>AVERAGE(' Cash Flow'!K14:O14)</f>
        <v>0.55061812752416095</v>
      </c>
      <c r="F55" s="19"/>
      <c r="G55" s="24">
        <v>1</v>
      </c>
      <c r="H55" s="23">
        <f>(E54*I55)+E54</f>
        <v>4.9619780080773142</v>
      </c>
      <c r="I55" s="25">
        <f>$E$55</f>
        <v>0.55061812752416095</v>
      </c>
    </row>
    <row r="56" spans="2:16" ht="16" outlineLevel="1" thickBot="1" x14ac:dyDescent="0.25">
      <c r="B56" s="29"/>
      <c r="C56" s="430" t="s">
        <v>22</v>
      </c>
      <c r="D56" s="429"/>
      <c r="E56" s="71">
        <v>0.02</v>
      </c>
      <c r="F56" s="11"/>
      <c r="G56" s="24">
        <v>2</v>
      </c>
      <c r="H56" s="23">
        <f>(H55*I56)+H55</f>
        <v>7.6941330477009107</v>
      </c>
      <c r="I56" s="25">
        <f>$E$55</f>
        <v>0.55061812752416095</v>
      </c>
    </row>
    <row r="57" spans="2:16" ht="16" outlineLevel="1" thickBot="1" x14ac:dyDescent="0.25">
      <c r="B57" s="29"/>
      <c r="C57" s="430" t="s">
        <v>23</v>
      </c>
      <c r="D57" s="429"/>
      <c r="E57" s="71">
        <v>7.0000000000000007E-2</v>
      </c>
      <c r="G57" s="24">
        <v>3</v>
      </c>
      <c r="H57" s="23">
        <f>(H56*I57)+H56</f>
        <v>11.930662179347753</v>
      </c>
      <c r="I57" s="25">
        <f>$E$55</f>
        <v>0.55061812752416095</v>
      </c>
    </row>
    <row r="58" spans="2:16" ht="16" outlineLevel="1" thickBot="1" x14ac:dyDescent="0.25">
      <c r="B58" s="29"/>
      <c r="C58" s="430" t="s">
        <v>24</v>
      </c>
      <c r="D58" s="429"/>
      <c r="E58" s="31">
        <f>'Income Statement_P&amp;L'!K26</f>
        <v>20</v>
      </c>
      <c r="F58" s="11"/>
      <c r="G58" s="24">
        <v>4</v>
      </c>
      <c r="H58" s="23">
        <f>(H57*I58)+H57</f>
        <v>18.499901048663538</v>
      </c>
      <c r="I58" s="25">
        <f>$E$55</f>
        <v>0.55061812752416095</v>
      </c>
    </row>
    <row r="59" spans="2:16" ht="16" outlineLevel="1" thickBot="1" x14ac:dyDescent="0.25">
      <c r="B59" s="29"/>
      <c r="C59" s="431" t="s">
        <v>25</v>
      </c>
      <c r="D59" s="432"/>
      <c r="E59" s="20">
        <f>Balance!J13-Balance!J6</f>
        <v>-1</v>
      </c>
      <c r="F59" s="11"/>
      <c r="G59" s="26">
        <v>5</v>
      </c>
      <c r="H59" s="27">
        <f>(H58*I59)+H58</f>
        <v>28.686281923460918</v>
      </c>
      <c r="I59" s="28">
        <f>$E$55</f>
        <v>0.55061812752416095</v>
      </c>
    </row>
    <row r="60" spans="2:16" ht="16" outlineLevel="1" thickBot="1" x14ac:dyDescent="0.25">
      <c r="B60" s="29"/>
      <c r="F60" s="11"/>
      <c r="G60" s="11"/>
      <c r="H60" s="11"/>
      <c r="I60" s="11"/>
    </row>
    <row r="61" spans="2:16" outlineLevel="1" x14ac:dyDescent="0.2">
      <c r="B61" s="29"/>
      <c r="C61" s="11"/>
      <c r="D61" s="11"/>
      <c r="E61" s="436" t="s">
        <v>32</v>
      </c>
      <c r="F61" s="32"/>
      <c r="G61" s="33">
        <f>(H59*(1+E56))</f>
        <v>29.260007561930138</v>
      </c>
      <c r="I61" s="11"/>
    </row>
    <row r="62" spans="2:16" outlineLevel="1" x14ac:dyDescent="0.2">
      <c r="B62" s="29"/>
      <c r="E62" s="437"/>
      <c r="F62" s="34"/>
      <c r="G62" s="35"/>
      <c r="I62" s="11"/>
    </row>
    <row r="63" spans="2:16" outlineLevel="1" x14ac:dyDescent="0.2">
      <c r="B63" s="29"/>
      <c r="E63" s="438" t="s">
        <v>30</v>
      </c>
      <c r="F63" s="34"/>
      <c r="G63" s="36">
        <f>SUM(H55:H59)</f>
        <v>71.772956207250445</v>
      </c>
      <c r="I63" s="11"/>
    </row>
    <row r="64" spans="2:16" outlineLevel="1" x14ac:dyDescent="0.2">
      <c r="B64" s="29"/>
      <c r="E64" s="439"/>
      <c r="F64" s="34"/>
      <c r="G64" s="36"/>
      <c r="I64" s="11"/>
    </row>
    <row r="65" spans="2:9" outlineLevel="1" x14ac:dyDescent="0.2">
      <c r="B65" s="29"/>
      <c r="E65" s="439" t="s">
        <v>36</v>
      </c>
      <c r="F65" s="34"/>
      <c r="G65" s="36">
        <f>((G61/($E$57-$E$56)))/(1+$E$57)^G59</f>
        <v>417.23962006487631</v>
      </c>
      <c r="I65" s="11"/>
    </row>
    <row r="66" spans="2:9" outlineLevel="1" x14ac:dyDescent="0.2">
      <c r="B66" s="29"/>
      <c r="E66" s="439" t="s">
        <v>35</v>
      </c>
      <c r="F66" s="34"/>
      <c r="G66" s="36">
        <f>Balance!J6</f>
        <v>1</v>
      </c>
      <c r="I66" s="11"/>
    </row>
    <row r="67" spans="2:9" outlineLevel="1" x14ac:dyDescent="0.2">
      <c r="B67" s="29"/>
      <c r="E67" s="439" t="s">
        <v>34</v>
      </c>
      <c r="F67" s="34"/>
      <c r="G67" s="36">
        <f>G63+G65</f>
        <v>489.01257627212675</v>
      </c>
      <c r="I67" s="11"/>
    </row>
    <row r="68" spans="2:9" outlineLevel="1" x14ac:dyDescent="0.2">
      <c r="B68" s="29"/>
      <c r="C68" s="13"/>
      <c r="D68" s="14"/>
      <c r="E68" s="439"/>
      <c r="F68" s="34"/>
      <c r="G68" s="36"/>
      <c r="I68" s="11"/>
    </row>
    <row r="69" spans="2:9" ht="16" outlineLevel="1" thickBot="1" x14ac:dyDescent="0.25">
      <c r="B69" s="29"/>
      <c r="C69" s="13"/>
      <c r="D69" s="14"/>
      <c r="E69" s="440" t="s">
        <v>31</v>
      </c>
      <c r="F69" s="37"/>
      <c r="G69" s="38">
        <f>E58</f>
        <v>20</v>
      </c>
      <c r="I69" s="11"/>
    </row>
    <row r="70" spans="2:9" ht="16" outlineLevel="1" thickBot="1" x14ac:dyDescent="0.25">
      <c r="B70" s="29"/>
      <c r="C70" s="13"/>
      <c r="D70" s="14"/>
      <c r="E70" s="18"/>
      <c r="F70" s="22"/>
      <c r="G70" s="22"/>
      <c r="H70" s="21"/>
      <c r="I70" s="11"/>
    </row>
    <row r="71" spans="2:9" ht="17" outlineLevel="1" thickBot="1" x14ac:dyDescent="0.25">
      <c r="B71" s="29"/>
      <c r="C71" s="13"/>
      <c r="D71" s="468" t="s">
        <v>33</v>
      </c>
      <c r="E71" s="469"/>
      <c r="F71" s="469"/>
      <c r="G71" s="469"/>
      <c r="H71" s="470">
        <f>IFERROR((G67-E59)/G69,"")</f>
        <v>24.500628813606337</v>
      </c>
      <c r="I71" s="11"/>
    </row>
    <row r="72" spans="2:9" ht="16" outlineLevel="1" thickBot="1" x14ac:dyDescent="0.25">
      <c r="B72" s="29"/>
      <c r="C72" s="13"/>
      <c r="D72" s="711" t="s">
        <v>126</v>
      </c>
      <c r="E72" s="712"/>
      <c r="F72" s="712"/>
      <c r="G72" s="713"/>
      <c r="H72" s="226">
        <f>IFERROR(1-(H7/H71),"")</f>
        <v>0.75510832617210544</v>
      </c>
      <c r="I72" s="11"/>
    </row>
    <row r="73" spans="2:9" x14ac:dyDescent="0.2">
      <c r="B73" s="29"/>
      <c r="C73" s="13"/>
      <c r="D73" s="17"/>
      <c r="E73" s="15"/>
      <c r="F73" s="16"/>
      <c r="G73" s="11"/>
      <c r="H73" s="11"/>
      <c r="I73" s="11"/>
    </row>
    <row r="74" spans="2:9" x14ac:dyDescent="0.2">
      <c r="C74" s="13"/>
      <c r="D74" s="17"/>
      <c r="E74" s="15"/>
      <c r="F74" s="16"/>
      <c r="G74" s="11"/>
      <c r="H74" s="11"/>
      <c r="I74" s="11"/>
    </row>
    <row r="75" spans="2:9" x14ac:dyDescent="0.2">
      <c r="G75" s="30"/>
      <c r="H75" s="11"/>
      <c r="I75" s="11"/>
    </row>
    <row r="76" spans="2:9" x14ac:dyDescent="0.2">
      <c r="G76" s="30"/>
      <c r="H76" s="11"/>
      <c r="I76" s="11"/>
    </row>
    <row r="77" spans="2:9" x14ac:dyDescent="0.2">
      <c r="G77" s="30"/>
      <c r="H77" s="11"/>
      <c r="I77" s="11"/>
    </row>
    <row r="78" spans="2:9" x14ac:dyDescent="0.2">
      <c r="G78" s="30"/>
      <c r="H78" s="11"/>
      <c r="I78" s="11"/>
    </row>
    <row r="79" spans="2:9" x14ac:dyDescent="0.2">
      <c r="G79" s="30"/>
      <c r="H79" s="11"/>
      <c r="I79" s="11"/>
    </row>
    <row r="80" spans="2:9" x14ac:dyDescent="0.2">
      <c r="G80" s="30"/>
      <c r="H80" s="11"/>
      <c r="I80" s="11"/>
    </row>
    <row r="81" spans="3:9" x14ac:dyDescent="0.2">
      <c r="G81" s="30"/>
      <c r="H81" s="11"/>
      <c r="I81" s="11"/>
    </row>
    <row r="82" spans="3:9" x14ac:dyDescent="0.2">
      <c r="G82" s="30"/>
      <c r="H82" s="11"/>
      <c r="I82" s="11"/>
    </row>
    <row r="83" spans="3:9" x14ac:dyDescent="0.2">
      <c r="G83" s="30"/>
      <c r="H83" s="11"/>
      <c r="I83" s="11"/>
    </row>
    <row r="84" spans="3:9" x14ac:dyDescent="0.2">
      <c r="G84" s="30"/>
      <c r="H84" s="11"/>
      <c r="I84" s="11"/>
    </row>
    <row r="85" spans="3:9" x14ac:dyDescent="0.2">
      <c r="G85" s="30"/>
      <c r="H85" s="11"/>
      <c r="I85" s="11"/>
    </row>
    <row r="86" spans="3:9" x14ac:dyDescent="0.2">
      <c r="C86" s="30"/>
      <c r="D86" s="30"/>
      <c r="E86" s="30"/>
      <c r="F86" s="30"/>
      <c r="G86" s="30"/>
      <c r="H86" s="11"/>
      <c r="I86" s="11"/>
    </row>
  </sheetData>
  <sheetProtection selectLockedCells="1"/>
  <mergeCells count="19">
    <mergeCell ref="K34:L34"/>
    <mergeCell ref="D72:G72"/>
    <mergeCell ref="P12:Q12"/>
    <mergeCell ref="B51:P51"/>
    <mergeCell ref="I29:O29"/>
    <mergeCell ref="P13:Q13"/>
    <mergeCell ref="P14:Q14"/>
    <mergeCell ref="P15:Q15"/>
    <mergeCell ref="P17:Q17"/>
    <mergeCell ref="K37:L37"/>
    <mergeCell ref="K36:L36"/>
    <mergeCell ref="K35:L35"/>
    <mergeCell ref="K38:L38"/>
    <mergeCell ref="K33:L33"/>
    <mergeCell ref="K32:L32"/>
    <mergeCell ref="K30:M30"/>
    <mergeCell ref="D3:K3"/>
    <mergeCell ref="B5:P5"/>
    <mergeCell ref="E7:G7"/>
  </mergeCells>
  <conditionalFormatting sqref="I20:O27">
    <cfRule type="expression" dxfId="2" priority="6">
      <formula>$M$20=FALSE</formula>
    </cfRule>
  </conditionalFormatting>
  <conditionalFormatting sqref="M21 E18:K18 P17:R17">
    <cfRule type="expression" dxfId="1" priority="5">
      <formula>$Q$22=FALSE</formula>
    </cfRule>
  </conditionalFormatting>
  <conditionalFormatting sqref="P12:S15 C12:O16">
    <cfRule type="expression" dxfId="0" priority="4">
      <formula>$Q$22=TRUE</formula>
    </cfRule>
  </conditionalFormatting>
  <conditionalFormatting sqref="D13:E16">
    <cfRule type="dataBar" priority="3">
      <dataBar>
        <cfvo type="num" val="0"/>
        <cfvo type="num" val="1"/>
        <color rgb="FF638EC6"/>
      </dataBar>
      <extLst>
        <ext xmlns:x14="http://schemas.microsoft.com/office/spreadsheetml/2009/9/main" uri="{B025F937-C7B1-47D3-B67F-A62EFF666E3E}">
          <x14:id>{07C5ECF5-699A-46D7-B60B-81729896F3E5}</x14:id>
        </ext>
      </extLst>
    </cfRule>
  </conditionalFormatting>
  <conditionalFormatting sqref="H72">
    <cfRule type="dataBar" priority="2">
      <dataBar>
        <cfvo type="num" val="0"/>
        <cfvo type="num" val="1"/>
        <color rgb="FF63C384"/>
      </dataBar>
    </cfRule>
  </conditionalFormatting>
  <conditionalFormatting sqref="H71">
    <cfRule type="dataBar" priority="1">
      <dataBar>
        <cfvo type="num" val="0"/>
        <cfvo type="num" val="1"/>
        <color rgb="FF63C384"/>
      </dataBar>
    </cfRule>
  </conditionalFormatting>
  <dataValidations disablePrompts="1" count="1">
    <dataValidation type="decimal" allowBlank="1" showInputMessage="1" showErrorMessage="1" error="El valor introducido ha de ser numérico" sqref="R17" xr:uid="{00000000-0002-0000-0300-000000000000}">
      <formula1>-1000</formula1>
      <formula2>1000</formula2>
    </dataValidation>
  </dataValidations>
  <pageMargins left="0.7" right="0.7" top="0.75" bottom="0.75" header="0.3" footer="0.3"/>
  <pageSetup paperSize="9" orientation="portrait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11</xdr:col>
                    <xdr:colOff>673100</xdr:colOff>
                    <xdr:row>16</xdr:row>
                    <xdr:rowOff>63500</xdr:rowOff>
                  </from>
                  <to>
                    <xdr:col>12</xdr:col>
                    <xdr:colOff>114300</xdr:colOff>
                    <xdr:row>18</xdr:row>
                    <xdr:rowOff>139700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11</xdr:col>
                    <xdr:colOff>673100</xdr:colOff>
                    <xdr:row>17</xdr:row>
                    <xdr:rowOff>317500</xdr:rowOff>
                  </from>
                  <to>
                    <xdr:col>12</xdr:col>
                    <xdr:colOff>0</xdr:colOff>
                    <xdr:row>19</xdr:row>
                    <xdr:rowOff>12700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7C5ECF5-699A-46D7-B60B-81729896F3E5}">
            <x14:dataBar minLength="0" maxLength="100" border="1" negativeBarBorderColorSameAsPositive="0">
              <x14:cfvo type="num">
                <xm:f>0</xm:f>
              </x14:cfvo>
              <x14:cfvo type="num">
                <xm:f>1</xm:f>
              </x14:cfvo>
              <x14:borderColor rgb="FF638EC6"/>
              <x14:negativeFillColor rgb="FFFF0000"/>
              <x14:negativeBorderColor rgb="FFFF0000"/>
              <x14:axisColor rgb="FF000000"/>
            </x14:dataBar>
          </x14:cfRule>
          <xm:sqref>D13:E16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C1:R49"/>
  <sheetViews>
    <sheetView showGridLines="0" workbookViewId="0">
      <pane ySplit="2" topLeftCell="A3" activePane="bottomLeft" state="frozen"/>
      <selection activeCell="C1" sqref="C1"/>
      <selection pane="bottomLeft" activeCell="G8" sqref="G8"/>
    </sheetView>
  </sheetViews>
  <sheetFormatPr baseColWidth="10" defaultColWidth="9.1640625" defaultRowHeight="15" x14ac:dyDescent="0.2"/>
  <cols>
    <col min="1" max="1" width="3.6640625" customWidth="1"/>
    <col min="2" max="2" width="4.5" customWidth="1"/>
    <col min="3" max="3" width="26.5" customWidth="1"/>
    <col min="4" max="5" width="11.6640625" customWidth="1"/>
    <col min="6" max="6" width="16.83203125" customWidth="1"/>
    <col min="7" max="7" width="11.5" customWidth="1"/>
    <col min="8" max="8" width="15.5" customWidth="1"/>
    <col min="9" max="9" width="11.1640625" customWidth="1"/>
    <col min="10" max="10" width="13.5" customWidth="1"/>
    <col min="11" max="11" width="13.6640625" customWidth="1"/>
    <col min="12" max="12" width="11.33203125" customWidth="1"/>
    <col min="13" max="13" width="12" customWidth="1"/>
    <col min="15" max="15" width="11.83203125" customWidth="1"/>
  </cols>
  <sheetData>
    <row r="1" spans="3:18" ht="27" thickBot="1" x14ac:dyDescent="0.35">
      <c r="D1" s="721" t="s">
        <v>75</v>
      </c>
      <c r="E1" s="722"/>
      <c r="F1" s="722"/>
      <c r="G1" s="722"/>
      <c r="H1" s="722"/>
      <c r="I1" s="722"/>
      <c r="J1" s="722"/>
      <c r="K1" s="723"/>
    </row>
    <row r="2" spans="3:18" ht="17" thickBot="1" x14ac:dyDescent="0.25">
      <c r="D2" s="61">
        <v>2009</v>
      </c>
      <c r="E2" s="62">
        <f>D2+1</f>
        <v>2010</v>
      </c>
      <c r="F2" s="62">
        <f t="shared" ref="F2:M2" si="0">E2+1</f>
        <v>2011</v>
      </c>
      <c r="G2" s="62">
        <f t="shared" si="0"/>
        <v>2012</v>
      </c>
      <c r="H2" s="62">
        <f t="shared" si="0"/>
        <v>2013</v>
      </c>
      <c r="I2" s="62">
        <f t="shared" si="0"/>
        <v>2014</v>
      </c>
      <c r="J2" s="62">
        <f t="shared" si="0"/>
        <v>2015</v>
      </c>
      <c r="K2" s="112">
        <f t="shared" si="0"/>
        <v>2016</v>
      </c>
      <c r="L2" s="86">
        <f t="shared" si="0"/>
        <v>2017</v>
      </c>
      <c r="M2" s="86">
        <f t="shared" si="0"/>
        <v>2018</v>
      </c>
      <c r="N2" s="95"/>
      <c r="O2" s="95" t="s">
        <v>113</v>
      </c>
    </row>
    <row r="3" spans="3:18" ht="16" x14ac:dyDescent="0.2">
      <c r="C3" s="159" t="s">
        <v>118</v>
      </c>
      <c r="D3" s="175"/>
      <c r="E3" s="167"/>
      <c r="F3" s="167"/>
      <c r="G3" s="168"/>
      <c r="H3" s="168"/>
      <c r="I3" s="168"/>
      <c r="J3" s="168"/>
      <c r="K3" s="169"/>
      <c r="L3" s="80"/>
      <c r="M3" s="194"/>
      <c r="N3" s="135"/>
      <c r="O3" s="136"/>
    </row>
    <row r="4" spans="3:18" ht="16" x14ac:dyDescent="0.2">
      <c r="C4" s="160" t="s">
        <v>119</v>
      </c>
      <c r="D4" s="175"/>
      <c r="E4" s="167"/>
      <c r="F4" s="167"/>
      <c r="G4" s="168"/>
      <c r="H4" s="168"/>
      <c r="I4" s="168"/>
      <c r="J4" s="168"/>
      <c r="K4" s="169"/>
      <c r="L4" s="41"/>
      <c r="M4" s="87"/>
      <c r="N4" s="29"/>
      <c r="O4" s="137"/>
    </row>
    <row r="5" spans="3:18" ht="16" x14ac:dyDescent="0.2">
      <c r="C5" s="160" t="s">
        <v>120</v>
      </c>
      <c r="D5" s="175"/>
      <c r="E5" s="167"/>
      <c r="F5" s="167"/>
      <c r="G5" s="168"/>
      <c r="H5" s="168"/>
      <c r="I5" s="168"/>
      <c r="J5" s="168"/>
      <c r="K5" s="169"/>
      <c r="L5" s="41"/>
      <c r="M5" s="87"/>
      <c r="N5" s="29"/>
      <c r="O5" s="137"/>
    </row>
    <row r="6" spans="3:18" ht="16" x14ac:dyDescent="0.2">
      <c r="C6" s="160" t="s">
        <v>121</v>
      </c>
      <c r="D6" s="175"/>
      <c r="E6" s="167"/>
      <c r="F6" s="167"/>
      <c r="G6" s="168"/>
      <c r="H6" s="168"/>
      <c r="I6" s="168"/>
      <c r="J6" s="168"/>
      <c r="K6" s="169"/>
      <c r="L6" s="41"/>
      <c r="M6" s="87"/>
      <c r="N6" s="29"/>
      <c r="O6" s="137"/>
    </row>
    <row r="7" spans="3:18" ht="17" thickBot="1" x14ac:dyDescent="0.25">
      <c r="C7" s="161" t="s">
        <v>123</v>
      </c>
      <c r="D7" s="175"/>
      <c r="E7" s="167"/>
      <c r="F7" s="167"/>
      <c r="G7" s="168"/>
      <c r="H7" s="168"/>
      <c r="I7" s="168"/>
      <c r="J7" s="168"/>
      <c r="K7" s="169"/>
      <c r="L7" s="81"/>
      <c r="M7" s="212"/>
      <c r="N7" s="29"/>
      <c r="O7" s="137"/>
    </row>
    <row r="8" spans="3:18" ht="17" thickBot="1" x14ac:dyDescent="0.25">
      <c r="C8" s="118" t="s">
        <v>84</v>
      </c>
      <c r="D8" s="88"/>
      <c r="E8" s="89"/>
      <c r="F8" s="89"/>
      <c r="G8" s="90"/>
      <c r="H8" s="90"/>
      <c r="I8" s="90"/>
      <c r="J8" s="90"/>
      <c r="K8" s="120"/>
      <c r="L8" s="213">
        <f>IFERROR((K8*$P$8)+K8,"")</f>
        <v>0</v>
      </c>
      <c r="M8" s="214">
        <f>IFERROR((L8*$P$8)+L8,"")</f>
        <v>0</v>
      </c>
      <c r="N8" s="83"/>
      <c r="O8" s="209" t="s">
        <v>70</v>
      </c>
      <c r="P8" s="199">
        <v>0.06</v>
      </c>
      <c r="R8" s="163" t="str">
        <f>IFERROR(AVERAGE(D10:K10),"")</f>
        <v/>
      </c>
    </row>
    <row r="9" spans="3:18" ht="17" thickBot="1" x14ac:dyDescent="0.25">
      <c r="C9" s="165" t="s">
        <v>122</v>
      </c>
      <c r="D9" s="176"/>
      <c r="E9" s="177" t="str">
        <f>IFERROR((E8-D8)/D8,"")</f>
        <v/>
      </c>
      <c r="F9" s="177" t="str">
        <f t="shared" ref="F9:K9" si="1">IFERROR((F8-E8)/E8,"")</f>
        <v/>
      </c>
      <c r="G9" s="177" t="str">
        <f t="shared" si="1"/>
        <v/>
      </c>
      <c r="H9" s="177" t="str">
        <f t="shared" si="1"/>
        <v/>
      </c>
      <c r="I9" s="177" t="str">
        <f t="shared" si="1"/>
        <v/>
      </c>
      <c r="J9" s="177" t="str">
        <f t="shared" si="1"/>
        <v/>
      </c>
      <c r="K9" s="177" t="str">
        <f t="shared" si="1"/>
        <v/>
      </c>
      <c r="L9" s="215">
        <f>P8</f>
        <v>0.06</v>
      </c>
      <c r="M9" s="216">
        <f>P8</f>
        <v>0.06</v>
      </c>
      <c r="N9" s="137"/>
      <c r="O9" s="210"/>
      <c r="R9" s="163" t="str">
        <f>IFERROR(AVERAGE(D10:K10),"")</f>
        <v/>
      </c>
    </row>
    <row r="10" spans="3:18" ht="17" thickBot="1" x14ac:dyDescent="0.25">
      <c r="C10" s="164" t="s">
        <v>85</v>
      </c>
      <c r="D10" s="144"/>
      <c r="E10" s="145"/>
      <c r="F10" s="145"/>
      <c r="G10" s="146"/>
      <c r="H10" s="146"/>
      <c r="I10" s="146"/>
      <c r="J10" s="146"/>
      <c r="K10" s="148"/>
      <c r="L10" s="217">
        <v>3000</v>
      </c>
      <c r="M10" s="218">
        <v>3000</v>
      </c>
      <c r="N10" s="84"/>
      <c r="O10" s="211" t="s">
        <v>113</v>
      </c>
      <c r="P10" s="190" t="str">
        <f>IFERROR(AVERAGE(D10:K10),"")</f>
        <v/>
      </c>
      <c r="R10" s="163" t="str">
        <f>IFERROR(AVERAGE(D10:K10),"")</f>
        <v/>
      </c>
    </row>
    <row r="11" spans="3:18" ht="17" thickBot="1" x14ac:dyDescent="0.25">
      <c r="C11" s="138" t="s">
        <v>122</v>
      </c>
      <c r="D11" s="176"/>
      <c r="E11" s="177" t="str">
        <f>IFERROR((E10-D10)/D10,"")</f>
        <v/>
      </c>
      <c r="F11" s="177" t="str">
        <f t="shared" ref="F11:K11" si="2">IFERROR((F10-E10)/E10,"")</f>
        <v/>
      </c>
      <c r="G11" s="177" t="str">
        <f t="shared" si="2"/>
        <v/>
      </c>
      <c r="H11" s="177" t="str">
        <f t="shared" si="2"/>
        <v/>
      </c>
      <c r="I11" s="177" t="str">
        <f t="shared" si="2"/>
        <v/>
      </c>
      <c r="J11" s="177" t="str">
        <f t="shared" si="2"/>
        <v/>
      </c>
      <c r="K11" s="177" t="str">
        <f t="shared" si="2"/>
        <v/>
      </c>
      <c r="L11" s="217"/>
      <c r="M11" s="218"/>
      <c r="N11" s="137"/>
      <c r="O11" s="210"/>
      <c r="R11" s="163" t="str">
        <f>IFERROR(AVERAGE(D10:K10),"")</f>
        <v/>
      </c>
    </row>
    <row r="12" spans="3:18" ht="17" thickBot="1" x14ac:dyDescent="0.25">
      <c r="C12" s="117" t="s">
        <v>86</v>
      </c>
      <c r="D12" s="144"/>
      <c r="E12" s="145"/>
      <c r="F12" s="145"/>
      <c r="G12" s="146"/>
      <c r="H12" s="146"/>
      <c r="I12" s="146"/>
      <c r="J12" s="146"/>
      <c r="K12" s="148"/>
      <c r="L12" s="217">
        <v>9000</v>
      </c>
      <c r="M12" s="218">
        <v>10000</v>
      </c>
      <c r="N12" s="84"/>
      <c r="O12" s="87"/>
      <c r="R12" s="163" t="str">
        <f>IFERROR(AVERAGE(D10:K10),"")</f>
        <v/>
      </c>
    </row>
    <row r="13" spans="3:18" ht="17" thickBot="1" x14ac:dyDescent="0.25">
      <c r="C13" s="117" t="s">
        <v>87</v>
      </c>
      <c r="D13" s="144"/>
      <c r="E13" s="145"/>
      <c r="F13" s="145"/>
      <c r="G13" s="146"/>
      <c r="H13" s="146"/>
      <c r="I13" s="146"/>
      <c r="J13" s="146"/>
      <c r="K13" s="148"/>
      <c r="L13" s="195">
        <f>IFERROR((K13*$P$8)+K13,"")</f>
        <v>0</v>
      </c>
      <c r="M13" s="196">
        <f>IFERROR((L13*$P$8)+L13,"")</f>
        <v>0</v>
      </c>
      <c r="N13" s="84"/>
      <c r="O13" s="87"/>
      <c r="R13" s="163" t="str">
        <f>IFERROR(AVERAGE(D10:K10),"")</f>
        <v/>
      </c>
    </row>
    <row r="14" spans="3:18" ht="17" thickBot="1" x14ac:dyDescent="0.25">
      <c r="C14" s="117" t="s">
        <v>2</v>
      </c>
      <c r="D14" s="182"/>
      <c r="E14" s="183"/>
      <c r="F14" s="183"/>
      <c r="G14" s="184"/>
      <c r="H14" s="184"/>
      <c r="I14" s="184"/>
      <c r="J14" s="184"/>
      <c r="K14" s="192"/>
      <c r="L14" s="213">
        <f>IFERROR((K14*$P$15)+K14,"")</f>
        <v>0</v>
      </c>
      <c r="M14" s="214">
        <f>IFERROR((L14*$P$15)+L14,"")</f>
        <v>0</v>
      </c>
      <c r="N14" s="84"/>
      <c r="O14" s="87"/>
      <c r="R14" s="163" t="str">
        <f>IFERROR(AVERAGE(D10:K10),"")</f>
        <v/>
      </c>
    </row>
    <row r="15" spans="3:18" ht="17" thickBot="1" x14ac:dyDescent="0.25">
      <c r="C15" s="181" t="s">
        <v>88</v>
      </c>
      <c r="D15" s="180" t="str">
        <f>IFERROR(D14/D8,"")</f>
        <v/>
      </c>
      <c r="E15" s="188" t="str">
        <f t="shared" ref="E15:K15" si="3">IFERROR(E14/E8,"")</f>
        <v/>
      </c>
      <c r="F15" s="188" t="str">
        <f t="shared" si="3"/>
        <v/>
      </c>
      <c r="G15" s="188" t="str">
        <f t="shared" si="3"/>
        <v/>
      </c>
      <c r="H15" s="188" t="str">
        <f t="shared" si="3"/>
        <v/>
      </c>
      <c r="I15" s="188" t="str">
        <f t="shared" si="3"/>
        <v/>
      </c>
      <c r="J15" s="188" t="str">
        <f t="shared" si="3"/>
        <v/>
      </c>
      <c r="K15" s="188" t="str">
        <f t="shared" si="3"/>
        <v/>
      </c>
      <c r="L15" s="219">
        <f>P15</f>
        <v>0.04</v>
      </c>
      <c r="M15" s="220">
        <f>P15</f>
        <v>0.04</v>
      </c>
      <c r="N15" s="85"/>
      <c r="O15" s="209" t="s">
        <v>70</v>
      </c>
      <c r="P15" s="200">
        <v>0.04</v>
      </c>
    </row>
    <row r="16" spans="3:18" ht="16" x14ac:dyDescent="0.2">
      <c r="C16" s="117" t="s">
        <v>89</v>
      </c>
      <c r="D16" s="185"/>
      <c r="E16" s="186"/>
      <c r="F16" s="186"/>
      <c r="G16" s="187"/>
      <c r="H16" s="187"/>
      <c r="I16" s="187"/>
      <c r="J16" s="187"/>
      <c r="K16" s="193"/>
      <c r="L16" s="213">
        <f>IFERROR((K16*$P$8)+K16,"")</f>
        <v>0</v>
      </c>
      <c r="M16" s="214">
        <f>IFERROR((L16*$P$8)+L16,"")</f>
        <v>0</v>
      </c>
      <c r="N16" s="82"/>
      <c r="O16" s="84"/>
    </row>
    <row r="17" spans="3:16" ht="17" thickBot="1" x14ac:dyDescent="0.25">
      <c r="C17" s="147" t="s">
        <v>115</v>
      </c>
      <c r="D17" s="93">
        <f>D14-D16</f>
        <v>0</v>
      </c>
      <c r="E17" s="92">
        <f t="shared" ref="E17:K17" si="4">E14-E16</f>
        <v>0</v>
      </c>
      <c r="F17" s="92">
        <f t="shared" si="4"/>
        <v>0</v>
      </c>
      <c r="G17" s="92">
        <f t="shared" si="4"/>
        <v>0</v>
      </c>
      <c r="H17" s="92">
        <f t="shared" si="4"/>
        <v>0</v>
      </c>
      <c r="I17" s="92">
        <f t="shared" si="4"/>
        <v>0</v>
      </c>
      <c r="J17" s="92">
        <f t="shared" si="4"/>
        <v>0</v>
      </c>
      <c r="K17" s="92">
        <f t="shared" si="4"/>
        <v>0</v>
      </c>
      <c r="L17" s="213">
        <f t="shared" ref="L17" si="5">L14-L16</f>
        <v>0</v>
      </c>
      <c r="M17" s="214">
        <f t="shared" ref="M17" si="6">M14-M16</f>
        <v>0</v>
      </c>
      <c r="N17" s="82"/>
      <c r="O17" s="84"/>
    </row>
    <row r="18" spans="3:16" ht="17" thickBot="1" x14ac:dyDescent="0.25">
      <c r="C18" s="117" t="s">
        <v>90</v>
      </c>
      <c r="D18" s="144"/>
      <c r="E18" s="145"/>
      <c r="F18" s="145"/>
      <c r="G18" s="146"/>
      <c r="H18" s="146"/>
      <c r="I18" s="146"/>
      <c r="J18" s="146"/>
      <c r="K18" s="148"/>
      <c r="L18" s="213">
        <f>IFERROR((K18*$P$18)+K18,"")</f>
        <v>0</v>
      </c>
      <c r="M18" s="214">
        <f>IFERROR((L18*$P$18)+L18,"")</f>
        <v>0</v>
      </c>
      <c r="N18" s="82"/>
      <c r="O18" s="119" t="s">
        <v>16</v>
      </c>
      <c r="P18" s="201">
        <v>0.22</v>
      </c>
    </row>
    <row r="19" spans="3:16" ht="17" thickBot="1" x14ac:dyDescent="0.25">
      <c r="C19" s="150" t="s">
        <v>114</v>
      </c>
      <c r="D19" s="178" t="str">
        <f>IFERROR(D18/D17,"")</f>
        <v/>
      </c>
      <c r="E19" s="179" t="str">
        <f t="shared" ref="E19:K19" si="7">IFERROR(E18/E17,"")</f>
        <v/>
      </c>
      <c r="F19" s="179" t="str">
        <f t="shared" si="7"/>
        <v/>
      </c>
      <c r="G19" s="179" t="str">
        <f t="shared" si="7"/>
        <v/>
      </c>
      <c r="H19" s="179" t="str">
        <f t="shared" si="7"/>
        <v/>
      </c>
      <c r="I19" s="179" t="str">
        <f t="shared" si="7"/>
        <v/>
      </c>
      <c r="J19" s="179" t="str">
        <f t="shared" si="7"/>
        <v/>
      </c>
      <c r="K19" s="179" t="str">
        <f t="shared" si="7"/>
        <v/>
      </c>
      <c r="L19" s="221">
        <f>P18</f>
        <v>0.22</v>
      </c>
      <c r="M19" s="222">
        <f>P18</f>
        <v>0.22</v>
      </c>
      <c r="N19" s="82"/>
      <c r="O19" s="189" t="s">
        <v>113</v>
      </c>
      <c r="P19" s="191" t="str">
        <f>IFERROR(AVERAGE(D19:K19),"")</f>
        <v/>
      </c>
    </row>
    <row r="20" spans="3:16" ht="17" thickBot="1" x14ac:dyDescent="0.25">
      <c r="C20" s="147" t="s">
        <v>91</v>
      </c>
      <c r="D20" s="93">
        <f>D17-D18</f>
        <v>0</v>
      </c>
      <c r="E20" s="92">
        <f t="shared" ref="E20:M20" si="8">E17-E18</f>
        <v>0</v>
      </c>
      <c r="F20" s="92">
        <f t="shared" si="8"/>
        <v>0</v>
      </c>
      <c r="G20" s="92">
        <f t="shared" si="8"/>
        <v>0</v>
      </c>
      <c r="H20" s="92">
        <f t="shared" si="8"/>
        <v>0</v>
      </c>
      <c r="I20" s="92">
        <f t="shared" si="8"/>
        <v>0</v>
      </c>
      <c r="J20" s="92">
        <f t="shared" si="8"/>
        <v>0</v>
      </c>
      <c r="K20" s="92">
        <f t="shared" si="8"/>
        <v>0</v>
      </c>
      <c r="L20" s="121">
        <f t="shared" si="8"/>
        <v>0</v>
      </c>
      <c r="M20" s="122">
        <f t="shared" si="8"/>
        <v>0</v>
      </c>
      <c r="N20" s="82"/>
      <c r="O20" s="84"/>
    </row>
    <row r="21" spans="3:16" ht="17" thickBot="1" x14ac:dyDescent="0.25">
      <c r="C21" s="166" t="s">
        <v>1</v>
      </c>
      <c r="D21" s="114">
        <f t="shared" ref="D21:K21" si="9">D14+D13</f>
        <v>0</v>
      </c>
      <c r="E21" s="115">
        <f t="shared" si="9"/>
        <v>0</v>
      </c>
      <c r="F21" s="115">
        <f t="shared" si="9"/>
        <v>0</v>
      </c>
      <c r="G21" s="115">
        <f t="shared" si="9"/>
        <v>0</v>
      </c>
      <c r="H21" s="115">
        <f t="shared" si="9"/>
        <v>0</v>
      </c>
      <c r="I21" s="115">
        <f t="shared" si="9"/>
        <v>0</v>
      </c>
      <c r="J21" s="115">
        <f t="shared" si="9"/>
        <v>0</v>
      </c>
      <c r="K21" s="116">
        <f t="shared" si="9"/>
        <v>0</v>
      </c>
      <c r="L21" s="122">
        <f t="shared" ref="L21:M21" si="10">L14+L13</f>
        <v>0</v>
      </c>
      <c r="M21" s="122">
        <f t="shared" si="10"/>
        <v>0</v>
      </c>
      <c r="N21" s="41"/>
      <c r="O21" s="84"/>
    </row>
    <row r="22" spans="3:16" ht="17" thickBot="1" x14ac:dyDescent="0.25">
      <c r="C22" s="139" t="s">
        <v>92</v>
      </c>
      <c r="D22" s="140"/>
      <c r="E22" s="141"/>
      <c r="F22" s="141"/>
      <c r="G22" s="142"/>
      <c r="H22" s="142"/>
      <c r="I22" s="142"/>
      <c r="J22" s="142"/>
      <c r="K22" s="143"/>
      <c r="L22" s="142"/>
      <c r="M22" s="143"/>
      <c r="N22" s="81"/>
      <c r="O22" s="85"/>
    </row>
    <row r="23" spans="3:16" ht="16" thickBot="1" x14ac:dyDescent="0.25"/>
    <row r="24" spans="3:16" ht="17" thickBot="1" x14ac:dyDescent="0.25">
      <c r="C24" s="9" t="s">
        <v>86</v>
      </c>
      <c r="D24" s="202"/>
      <c r="E24" s="9"/>
      <c r="F24" s="9" t="s">
        <v>110</v>
      </c>
      <c r="G24" s="91"/>
      <c r="H24" s="9"/>
      <c r="I24" s="94" t="s">
        <v>19</v>
      </c>
      <c r="J24" s="170" t="str">
        <f>IFERROR(G27/K14,"")</f>
        <v/>
      </c>
      <c r="L24" s="728" t="s">
        <v>76</v>
      </c>
      <c r="M24" s="729"/>
      <c r="N24" s="172"/>
    </row>
    <row r="25" spans="3:16" ht="17" thickBot="1" x14ac:dyDescent="0.25">
      <c r="C25" s="9" t="s">
        <v>93</v>
      </c>
      <c r="D25" s="203"/>
      <c r="E25" s="9"/>
      <c r="F25" s="9" t="s">
        <v>111</v>
      </c>
      <c r="G25" s="162">
        <f>K22*G24</f>
        <v>0</v>
      </c>
      <c r="H25" s="9"/>
      <c r="I25" s="156" t="s">
        <v>18</v>
      </c>
      <c r="J25" s="149" t="str">
        <f>IFERROR(G27/K21,"")</f>
        <v/>
      </c>
      <c r="L25" s="724" t="s">
        <v>124</v>
      </c>
      <c r="M25" s="725"/>
      <c r="N25" s="173" t="str">
        <f>IFERROR(K10/K8,"")</f>
        <v/>
      </c>
    </row>
    <row r="26" spans="3:16" ht="17" thickBot="1" x14ac:dyDescent="0.25">
      <c r="C26" s="9" t="s">
        <v>94</v>
      </c>
      <c r="D26" s="84">
        <f>D24*D25</f>
        <v>0</v>
      </c>
      <c r="E26" s="9"/>
      <c r="F26" s="9" t="s">
        <v>116</v>
      </c>
      <c r="G26" s="91"/>
      <c r="H26" s="9"/>
      <c r="I26" s="156" t="s">
        <v>20</v>
      </c>
      <c r="J26" s="149" t="str">
        <f>IFERROR((G25/(K21-K16-K18)),"")</f>
        <v/>
      </c>
      <c r="L26" s="726" t="s">
        <v>125</v>
      </c>
      <c r="M26" s="727"/>
      <c r="N26" s="174" t="str">
        <f>IFERROR((K12/K8)*360,"")</f>
        <v/>
      </c>
    </row>
    <row r="27" spans="3:16" ht="17" thickBot="1" x14ac:dyDescent="0.25">
      <c r="C27" s="9" t="s">
        <v>95</v>
      </c>
      <c r="D27" s="204"/>
      <c r="E27" s="9"/>
      <c r="F27" s="9" t="s">
        <v>117</v>
      </c>
      <c r="G27" s="197">
        <f>G25+G26</f>
        <v>0</v>
      </c>
      <c r="H27" s="9"/>
      <c r="I27" s="157" t="s">
        <v>17</v>
      </c>
      <c r="J27" s="171" t="str">
        <f>IFERROR(G25/K20,"")</f>
        <v/>
      </c>
      <c r="L27" s="124"/>
    </row>
    <row r="28" spans="3:16" ht="16" x14ac:dyDescent="0.2">
      <c r="C28" s="9" t="s">
        <v>96</v>
      </c>
      <c r="D28" s="84">
        <f>D26-(D26*D27)</f>
        <v>0</v>
      </c>
      <c r="E28" s="9"/>
      <c r="F28" s="9"/>
      <c r="G28" s="9"/>
      <c r="H28" s="9"/>
      <c r="I28" s="9"/>
      <c r="J28" s="9"/>
      <c r="K28" s="124"/>
      <c r="L28" s="124"/>
    </row>
    <row r="29" spans="3:16" ht="16" x14ac:dyDescent="0.2">
      <c r="C29" s="9" t="s">
        <v>97</v>
      </c>
      <c r="D29" s="205"/>
      <c r="E29" s="9"/>
      <c r="F29" s="9"/>
      <c r="G29" s="9"/>
      <c r="H29" s="9"/>
      <c r="I29" s="9"/>
      <c r="J29" s="9"/>
      <c r="K29" s="124"/>
      <c r="L29" s="124"/>
    </row>
    <row r="30" spans="3:16" ht="16" x14ac:dyDescent="0.2">
      <c r="C30" s="9" t="s">
        <v>98</v>
      </c>
      <c r="D30" s="205"/>
      <c r="E30" s="9"/>
      <c r="F30" s="9"/>
      <c r="G30" s="9"/>
      <c r="H30" s="9"/>
      <c r="I30" s="9"/>
      <c r="J30" s="9"/>
      <c r="K30" s="124"/>
      <c r="L30" s="124"/>
    </row>
    <row r="31" spans="3:16" ht="17" thickBot="1" x14ac:dyDescent="0.25">
      <c r="C31" s="9" t="s">
        <v>99</v>
      </c>
      <c r="D31" s="85">
        <f>D29-D30</f>
        <v>0</v>
      </c>
      <c r="E31" s="9"/>
      <c r="F31" s="9"/>
      <c r="G31" s="9"/>
      <c r="H31" s="9"/>
      <c r="I31" s="9"/>
      <c r="J31" s="9"/>
      <c r="K31" s="124"/>
      <c r="L31" s="124"/>
    </row>
    <row r="32" spans="3:16" ht="17" thickBot="1" x14ac:dyDescent="0.25">
      <c r="C32" s="9"/>
      <c r="D32" s="9"/>
      <c r="E32" s="9"/>
      <c r="F32" s="124"/>
      <c r="G32" s="9"/>
      <c r="H32" s="9"/>
      <c r="I32" s="9"/>
      <c r="J32" s="9"/>
      <c r="K32" s="124"/>
      <c r="L32" s="124"/>
    </row>
    <row r="33" spans="3:12" ht="17" thickBot="1" x14ac:dyDescent="0.25">
      <c r="C33" s="9" t="s">
        <v>100</v>
      </c>
      <c r="D33" s="123" t="str">
        <f>IFERROR(D26/G25,"")</f>
        <v/>
      </c>
      <c r="E33" s="9"/>
      <c r="F33" s="9"/>
      <c r="G33" s="9"/>
      <c r="H33" s="9"/>
      <c r="I33" s="9"/>
      <c r="J33" s="9"/>
      <c r="K33" s="124"/>
      <c r="L33" s="124"/>
    </row>
    <row r="34" spans="3:12" ht="16" x14ac:dyDescent="0.2">
      <c r="C34" s="9"/>
      <c r="D34" s="9"/>
      <c r="E34" s="9"/>
      <c r="F34" s="9"/>
      <c r="G34" s="9"/>
      <c r="H34" s="9"/>
      <c r="I34" s="9"/>
      <c r="J34" s="9"/>
      <c r="K34" s="124"/>
      <c r="L34" s="124"/>
    </row>
    <row r="35" spans="3:12" ht="16" x14ac:dyDescent="0.2">
      <c r="C35" s="158" t="s">
        <v>101</v>
      </c>
      <c r="D35" s="158"/>
      <c r="E35" s="9"/>
      <c r="F35" s="9"/>
      <c r="G35" s="9"/>
      <c r="H35" s="9"/>
      <c r="I35" s="9"/>
      <c r="J35" s="9"/>
      <c r="K35" s="124"/>
      <c r="L35" s="124"/>
    </row>
    <row r="36" spans="3:12" ht="17" thickBot="1" x14ac:dyDescent="0.25">
      <c r="C36" s="9"/>
      <c r="D36" s="9"/>
      <c r="E36" s="9"/>
      <c r="F36" s="9"/>
      <c r="G36" s="9"/>
      <c r="H36" s="9"/>
      <c r="I36" s="9"/>
      <c r="J36" s="9"/>
      <c r="K36" s="124"/>
      <c r="L36" s="124"/>
    </row>
    <row r="37" spans="3:12" ht="17" thickBot="1" x14ac:dyDescent="0.25">
      <c r="C37" s="9" t="s">
        <v>102</v>
      </c>
      <c r="D37" s="206"/>
      <c r="E37" s="9"/>
      <c r="F37" s="9"/>
      <c r="G37" s="9"/>
      <c r="H37" s="9"/>
      <c r="I37" s="9"/>
      <c r="J37" s="9"/>
      <c r="K37" s="124"/>
      <c r="L37" s="124"/>
    </row>
    <row r="38" spans="3:12" ht="16" x14ac:dyDescent="0.2">
      <c r="C38" s="9" t="s">
        <v>103</v>
      </c>
      <c r="D38" s="207">
        <v>0.09</v>
      </c>
      <c r="E38" s="9"/>
      <c r="F38" s="9"/>
      <c r="G38" s="9"/>
      <c r="H38" s="9"/>
      <c r="I38" s="9"/>
      <c r="J38" s="9"/>
      <c r="K38" s="124"/>
      <c r="L38" s="124"/>
    </row>
    <row r="39" spans="3:12" ht="17" thickBot="1" x14ac:dyDescent="0.25">
      <c r="C39" s="9" t="s">
        <v>83</v>
      </c>
      <c r="D39" s="208">
        <v>0.02</v>
      </c>
      <c r="E39" s="9"/>
      <c r="F39" s="9"/>
      <c r="G39" s="9"/>
      <c r="H39" s="9"/>
      <c r="I39" s="9"/>
      <c r="J39" s="9"/>
      <c r="K39" s="124"/>
      <c r="L39" s="124"/>
    </row>
    <row r="40" spans="3:12" ht="17" thickBot="1" x14ac:dyDescent="0.25">
      <c r="C40" s="9"/>
      <c r="D40" s="9"/>
      <c r="E40" s="9"/>
      <c r="F40" s="9"/>
      <c r="G40" s="9"/>
      <c r="H40" s="9"/>
      <c r="I40" s="9"/>
      <c r="J40" s="9"/>
      <c r="K40" s="124"/>
      <c r="L40" s="124"/>
    </row>
    <row r="41" spans="3:12" ht="17" thickBot="1" x14ac:dyDescent="0.25">
      <c r="C41" s="9" t="s">
        <v>104</v>
      </c>
      <c r="D41" s="113">
        <f>D37*D25</f>
        <v>0</v>
      </c>
      <c r="E41" s="9"/>
      <c r="F41" s="9"/>
      <c r="G41" s="9"/>
      <c r="H41" s="9"/>
      <c r="I41" s="9"/>
      <c r="J41" s="9"/>
      <c r="K41" s="124"/>
      <c r="L41" s="124"/>
    </row>
    <row r="42" spans="3:12" ht="17" thickBot="1" x14ac:dyDescent="0.25">
      <c r="C42" s="9" t="s">
        <v>105</v>
      </c>
      <c r="D42" s="113">
        <f>D41-(D41*D27)</f>
        <v>0</v>
      </c>
      <c r="E42" s="9"/>
      <c r="F42" s="9"/>
      <c r="G42" s="9"/>
      <c r="H42" s="9"/>
      <c r="I42" s="9"/>
      <c r="J42" s="9"/>
      <c r="K42" s="124"/>
      <c r="L42" s="124"/>
    </row>
    <row r="43" spans="3:12" ht="17" thickBot="1" x14ac:dyDescent="0.25">
      <c r="C43" s="9"/>
      <c r="D43" s="9"/>
      <c r="E43" s="9"/>
      <c r="F43" s="9"/>
      <c r="G43" s="9"/>
      <c r="H43" s="9"/>
      <c r="I43" s="9"/>
      <c r="J43" s="9"/>
      <c r="K43" s="124"/>
      <c r="L43" s="124"/>
    </row>
    <row r="44" spans="3:12" ht="17" thickBot="1" x14ac:dyDescent="0.25">
      <c r="C44" s="9" t="s">
        <v>112</v>
      </c>
      <c r="D44" s="151">
        <f>((D42*(1+D39))/(D38-D39))</f>
        <v>0</v>
      </c>
      <c r="E44" s="9"/>
      <c r="F44" s="9"/>
      <c r="G44" s="9"/>
      <c r="H44" s="152"/>
      <c r="I44" s="9"/>
      <c r="J44" s="9"/>
      <c r="K44" s="124"/>
      <c r="L44" s="124"/>
    </row>
    <row r="45" spans="3:12" ht="17" thickBot="1" x14ac:dyDescent="0.25">
      <c r="C45" s="9" t="s">
        <v>109</v>
      </c>
      <c r="D45" s="153">
        <f>(D44/(1+D38))</f>
        <v>0</v>
      </c>
      <c r="E45" s="9"/>
      <c r="F45" s="9"/>
      <c r="G45" s="9"/>
      <c r="H45" s="9"/>
      <c r="I45" s="9"/>
      <c r="J45" s="9"/>
      <c r="K45" s="124"/>
      <c r="L45" s="124"/>
    </row>
    <row r="46" spans="3:12" ht="16" x14ac:dyDescent="0.2">
      <c r="C46" s="9" t="s">
        <v>106</v>
      </c>
      <c r="D46" s="83">
        <f>D31+D28</f>
        <v>0</v>
      </c>
      <c r="E46" s="9"/>
      <c r="F46" s="9"/>
      <c r="G46" s="9"/>
      <c r="H46" s="9"/>
      <c r="I46" s="9"/>
      <c r="J46" s="9"/>
      <c r="K46" s="124"/>
      <c r="L46" s="124"/>
    </row>
    <row r="47" spans="3:12" ht="17" thickBot="1" x14ac:dyDescent="0.25">
      <c r="C47" s="9" t="s">
        <v>107</v>
      </c>
      <c r="D47" s="96">
        <f>D46+D45</f>
        <v>0</v>
      </c>
      <c r="E47" s="9"/>
      <c r="F47" s="9"/>
      <c r="G47" s="9"/>
      <c r="H47" s="9"/>
      <c r="I47" s="9"/>
      <c r="J47" s="9"/>
      <c r="K47" s="124"/>
      <c r="L47" s="124"/>
    </row>
    <row r="48" spans="3:12" ht="17" thickBot="1" x14ac:dyDescent="0.25">
      <c r="C48" s="154" t="s">
        <v>108</v>
      </c>
      <c r="D48" s="155" t="str">
        <f>IFERROR(D47/K22,"")</f>
        <v/>
      </c>
      <c r="E48" s="9"/>
      <c r="F48" s="9"/>
      <c r="G48" s="9"/>
      <c r="H48" s="9"/>
      <c r="I48" s="9"/>
      <c r="J48" s="9"/>
      <c r="K48" s="124"/>
      <c r="L48" s="124"/>
    </row>
    <row r="49" spans="3:12" ht="17" thickBot="1" x14ac:dyDescent="0.25">
      <c r="C49" s="9" t="s">
        <v>126</v>
      </c>
      <c r="D49" s="198" t="str">
        <f>IFERROR(1-(G24/D48),"")</f>
        <v/>
      </c>
      <c r="E49" s="124"/>
      <c r="F49" s="124"/>
      <c r="G49" s="124"/>
      <c r="H49" s="124"/>
      <c r="I49" s="124"/>
      <c r="J49" s="124"/>
      <c r="K49" s="124"/>
      <c r="L49" s="124"/>
    </row>
  </sheetData>
  <sheetProtection sheet="1" objects="1" scenarios="1" selectLockedCells="1"/>
  <mergeCells count="4">
    <mergeCell ref="D1:K1"/>
    <mergeCell ref="L25:M25"/>
    <mergeCell ref="L26:M26"/>
    <mergeCell ref="L24:M24"/>
  </mergeCells>
  <conditionalFormatting sqref="P19">
    <cfRule type="dataBar" priority="3">
      <dataBar>
        <cfvo type="num" val="0"/>
        <cfvo type="num" val="1"/>
        <color rgb="FF638EC6"/>
      </dataBar>
      <extLst>
        <ext xmlns:x14="http://schemas.microsoft.com/office/spreadsheetml/2009/9/main" uri="{B025F937-C7B1-47D3-B67F-A62EFF666E3E}">
          <x14:id>{31EE2B56-B25F-481B-A3DC-23D15FA6B4B0}</x14:id>
        </ext>
      </extLst>
    </cfRule>
  </conditionalFormatting>
  <conditionalFormatting sqref="D49">
    <cfRule type="dataBar" priority="2">
      <dataBar>
        <cfvo type="num" val="0"/>
        <cfvo type="num" val="1"/>
        <color rgb="FF63C384"/>
      </dataBar>
      <extLst>
        <ext xmlns:x14="http://schemas.microsoft.com/office/spreadsheetml/2009/9/main" uri="{B025F937-C7B1-47D3-B67F-A62EFF666E3E}">
          <x14:id>{1535D1EA-DBA4-4AE0-AEC2-49EBF3EFEE26}</x14:id>
        </ext>
      </extLst>
    </cfRule>
  </conditionalFormatting>
  <conditionalFormatting sqref="D33">
    <cfRule type="dataBar" priority="1">
      <dataBar>
        <cfvo type="num" val="0"/>
        <cfvo type="num" val="1"/>
        <color rgb="FF638EC6"/>
      </dataBar>
      <extLst>
        <ext xmlns:x14="http://schemas.microsoft.com/office/spreadsheetml/2009/9/main" uri="{B025F937-C7B1-47D3-B67F-A62EFF666E3E}">
          <x14:id>{5F00C8FB-867F-4648-9C7E-DE7E83478F02}</x14:id>
        </ext>
      </extLst>
    </cfRule>
  </conditionalFormatting>
  <pageMargins left="0.7" right="0.7" top="0.75" bottom="0.75" header="0.3" footer="0.3"/>
  <drawing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B56-B25F-481B-A3DC-23D15FA6B4B0}">
            <x14:dataBar minLength="0" maxLength="100" border="1" negativeBarBorderColorSameAsPositive="0">
              <x14:cfvo type="num">
                <xm:f>0</xm:f>
              </x14:cfvo>
              <x14:cfvo type="num">
                <xm:f>1</xm:f>
              </x14:cfvo>
              <x14:borderColor rgb="FF638EC6"/>
              <x14:negativeFillColor rgb="FFFF0000"/>
              <x14:negativeBorderColor rgb="FFFF0000"/>
              <x14:axisColor rgb="FF000000"/>
            </x14:dataBar>
          </x14:cfRule>
          <xm:sqref>P19</xm:sqref>
        </x14:conditionalFormatting>
        <x14:conditionalFormatting xmlns:xm="http://schemas.microsoft.com/office/excel/2006/main">
          <x14:cfRule type="dataBar" id="{1535D1EA-DBA4-4AE0-AEC2-49EBF3EFEE26}">
            <x14:dataBar minLength="0" maxLength="100" border="1" negativeBarBorderColorSameAsPositive="0">
              <x14:cfvo type="num">
                <xm:f>0</xm:f>
              </x14:cfvo>
              <x14:cfvo type="num">
                <xm:f>1</xm:f>
              </x14:cfvo>
              <x14:borderColor rgb="FF63C384"/>
              <x14:negativeFillColor rgb="FFFF0000"/>
              <x14:negativeBorderColor rgb="FFFF0000"/>
              <x14:axisColor rgb="FF000000"/>
            </x14:dataBar>
          </x14:cfRule>
          <xm:sqref>D49</xm:sqref>
        </x14:conditionalFormatting>
        <x14:conditionalFormatting xmlns:xm="http://schemas.microsoft.com/office/excel/2006/main">
          <x14:cfRule type="dataBar" id="{5F00C8FB-867F-4648-9C7E-DE7E83478F02}">
            <x14:dataBar minLength="0" maxLength="100" border="1" negativeBarBorderColorSameAsPositive="0">
              <x14:cfvo type="num">
                <xm:f>0</xm:f>
              </x14:cfvo>
              <x14:cfvo type="num">
                <xm:f>1</xm:f>
              </x14:cfvo>
              <x14:borderColor rgb="FF638EC6"/>
              <x14:negativeFillColor rgb="FFFF0000"/>
              <x14:negativeBorderColor rgb="FFFF0000"/>
              <x14:axisColor rgb="FF000000"/>
            </x14:dataBar>
          </x14:cfRule>
          <xm:sqref>D33</xm:sqref>
        </x14:conditionalFormatting>
      </x14:conditionalFormattings>
    </ext>
    <ext xmlns:x14="http://schemas.microsoft.com/office/spreadsheetml/2009/9/main" uri="{05C60535-1F16-4fd2-B633-F4F36F0B64E0}">
      <x14:sparklineGroups xmlns:xm="http://schemas.microsoft.com/office/excel/2006/main">
        <x14:sparklineGroup displayEmptyCellsAs="gap" xr2:uid="{00000000-0003-0000-0500-000006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Ingeniería'!D21:K21</xm:f>
              <xm:sqref>N21</xm:sqref>
            </x14:sparkline>
          </x14:sparklines>
        </x14:sparklineGroup>
        <x14:sparklineGroup displayEmptyCellsAs="gap" xr2:uid="{00000000-0003-0000-0500-000007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Ingeniería'!D20:K20</xm:f>
              <xm:sqref>N20</xm:sqref>
            </x14:sparkline>
          </x14:sparklines>
        </x14:sparklineGroup>
        <x14:sparklineGroup displayEmptyCellsAs="gap" xr2:uid="{00000000-0003-0000-0500-000008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Ingeniería'!D18:K18</xm:f>
              <xm:sqref>N18</xm:sqref>
            </x14:sparkline>
          </x14:sparklines>
        </x14:sparklineGroup>
        <x14:sparklineGroup displayEmptyCellsAs="gap" xr2:uid="{00000000-0003-0000-0500-000009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Ingeniería'!D8:K8</xm:f>
              <xm:sqref>N8</xm:sqref>
            </x14:sparkline>
          </x14:sparklines>
        </x14:sparklineGroup>
        <x14:sparklineGroup displayEmptyCellsAs="gap" xr2:uid="{00000000-0003-0000-0500-00000A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Ingeniería'!D10:K10</xm:f>
              <xm:sqref>N10</xm:sqref>
            </x14:sparkline>
          </x14:sparklines>
        </x14:sparklineGroup>
        <x14:sparklineGroup displayEmptyCellsAs="gap" xr2:uid="{00000000-0003-0000-0500-00000B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Ingeniería'!D12:K12</xm:f>
              <xm:sqref>N12</xm:sqref>
            </x14:sparkline>
          </x14:sparklines>
        </x14:sparklineGroup>
        <x14:sparklineGroup type="column" displayEmptyCellsAs="gap" xr2:uid="{00000000-0003-0000-0500-00000C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Ingeniería'!D15:K15</xm:f>
              <xm:sqref>N15</xm:sqref>
            </x14:sparkline>
          </x14:sparklines>
        </x14:sparklineGroup>
        <x14:sparklineGroup type="column" displayEmptyCellsAs="gap" xr2:uid="{00000000-0003-0000-0500-00000D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Ingeniería'!D3:K3</xm:f>
              <xm:sqref>N3</xm:sqref>
            </x14:sparkline>
          </x14:sparklines>
        </x14:sparklineGroup>
        <x14:sparklineGroup type="column" displayEmptyCellsAs="gap" xr2:uid="{00000000-0003-0000-0500-00000E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Ingeniería'!D4:K4</xm:f>
              <xm:sqref>N4</xm:sqref>
            </x14:sparkline>
          </x14:sparklines>
        </x14:sparklineGroup>
        <x14:sparklineGroup type="column" displayEmptyCellsAs="gap" xr2:uid="{00000000-0003-0000-0500-00000F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Ingeniería'!D5:K5</xm:f>
              <xm:sqref>N5</xm:sqref>
            </x14:sparkline>
          </x14:sparklines>
        </x14:sparklineGroup>
        <x14:sparklineGroup type="column" displayEmptyCellsAs="gap" xr2:uid="{00000000-0003-0000-0500-00001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Ingeniería'!D6:K6</xm:f>
              <xm:sqref>N6</xm:sqref>
            </x14:sparkline>
          </x14:sparklines>
        </x14:sparklineGroup>
        <x14:sparklineGroup type="column" displayEmptyCellsAs="gap" xr2:uid="{00000000-0003-0000-0500-000011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Ingeniería'!D7:K7</xm:f>
              <xm:sqref>N7</xm:sqref>
            </x14:sparkline>
          </x14:sparklines>
        </x14:sparklineGroup>
        <x14:sparklineGroup displayEmptyCellsAs="gap" xr2:uid="{00000000-0003-0000-0500-000012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Ingeniería'!D14:K14</xm:f>
              <xm:sqref>N14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Income Statement_P&amp;L</vt:lpstr>
      <vt:lpstr>Balance</vt:lpstr>
      <vt:lpstr> Cash Flow</vt:lpstr>
      <vt:lpstr>Valuation</vt:lpstr>
      <vt:lpstr>6. Ingeniería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2023-04-11T16:09:00Z</dcterms:modified>
</cp:coreProperties>
</file>